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<sst xmlns="http://schemas.openxmlformats.org/spreadsheetml/2006/main" count="145" uniqueCount="140">
  <si>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</si>
  <si>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</si>
  <si>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</si>
  <si>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</si>
  <si>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</si>
  <si>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</si>
  <si>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</si>
  <si>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</si>
  <si>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</si>
  <si>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</si>
  <si>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</si>
  <si>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</si>
  <si>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</si>
  <si>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</si>
  <si>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</si>
  <si>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</si>
  <si>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</si>
  <si>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</si>
  <si>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</si>
  <si>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</si>
  <si>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</si>
  <si>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</si>
  <si>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</si>
  <si>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</si>
  <si>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</si>
  <si>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</si>
  <si>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</si>
  <si>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</si>
  <si>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</si>
  <si>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</si>
  <si>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</si>
  <si>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</si>
  <si>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</si>
  <si>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</si>
  <si>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</si>
  <si>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</si>
  <si>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</si>
  <si>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</si>
  <si>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</si>
  <si>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</si>
  <si>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</si>
  <si>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</si>
  <si>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</si>
  <si>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</si>
  <si>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</si>
  <si>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</si>
  <si>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</si>
  <si>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</si>
  <si>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</si>
  <si>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</si>
  <si>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</si>
  <si>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</si>
  <si>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</si>
  <si>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</si>
  <si>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</si>
  <si>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</si>
  <si>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</si>
  <si>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</si>
  <si>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</si>
  <si>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</si>
  <si>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</si>
  <si>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</si>
  <si>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</si>
  <si>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</si>
  <si>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</si>
  <si>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</si>
  <si>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</si>
  <si>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</si>
  <si>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</si>
  <si>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</si>
  <si>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</si>
  <si>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</si>
  <si>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</si>
  <si>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</si>
  <si>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</si>
  <si>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</si>
  <si>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</si>
  <si>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</si>
  <si>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</si>
  <si>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</si>
  <si>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</si>
  <si>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</si>
  <si>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</si>
  <si>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</si>
  <si>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</si>
  <si>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</si>
  <si>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</si>
  <si>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</si>
  <si>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</si>
  <si>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</si>
  <si>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</si>
  <si>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</si>
  <si>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</si>
  <si>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</si>
  <si>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</si>
  <si>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</si>
  <si>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</si>
  <si>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</si>
  <si>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</si>
  <si>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</si>
  <si>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</si>
  <si>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</si>
  <si>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</si>
  <si>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</si>
  <si>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</si>
  <si>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</si>
  <si>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</si>
  <si>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</si>
  <si>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</si>
  <si>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</si>
  <si>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</si>
  <si>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</si>
  <si>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</si>
  <si>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</si>
  <si>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</si>
  <si>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</si>
  <si>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</si>
  <si>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</si>
  <si>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</si>
  <si>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</si>
  <si>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</si>
  <si>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</si>
  <si>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</si>
  <si>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</si>
  <si>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</si>
  <si>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</si>
  <si>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</si>
  <si>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</si>
  <si>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</si>
  <si>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</si>
  <si>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</si>
  <si>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</si>
  <si>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</si>
  <si>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</si>
  <si>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</si>
  <si>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</si>
  <si>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</si>
  <si>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11 місяців</t>
  </si>
  <si>
    <t>Залишок призначень до плану 11 місяців</t>
  </si>
  <si>
    <t>Касові видатки станом на 11.12.18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</si>
</sst>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36" fillId="0" borderId="0" xfId="112" applyFont="1" applyFill="1">
      <alignment/>
      <protection/>
    </xf>
    <xf numFmtId="0" fontId="36" fillId="0" borderId="11" xfId="112" applyFont="1" applyFill="1" applyBorder="1">
      <alignment/>
      <protection/>
    </xf>
    <xf numFmtId="4" fontId="0" fillId="0" borderId="11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4" fontId="27" fillId="0" borderId="0" xfId="112" applyNumberFormat="1" applyFont="1">
      <alignment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K12" sqref="AK1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93" t="s">
        <v>14</v>
      </c>
      <c r="E1" s="94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8" t="s">
        <v>16</v>
      </c>
      <c r="B3" s="98"/>
      <c r="C3" s="98"/>
      <c r="D3" s="98"/>
      <c r="E3" s="98"/>
      <c r="F3" s="98"/>
      <c r="G3" s="98"/>
      <c r="H3" s="98"/>
      <c r="I3" s="98"/>
    </row>
    <row r="4" spans="1:9" ht="20.25" customHeight="1">
      <c r="A4" s="97" t="s">
        <v>15</v>
      </c>
      <c r="B4" s="97"/>
      <c r="C4" s="97"/>
      <c r="D4" s="97"/>
      <c r="E4" s="97"/>
      <c r="F4" s="97"/>
      <c r="G4" s="97"/>
      <c r="H4" s="97"/>
      <c r="I4" s="97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5" t="s">
        <v>3</v>
      </c>
      <c r="B7" s="13"/>
      <c r="C7" s="95" t="s">
        <v>0</v>
      </c>
      <c r="D7" s="96" t="s">
        <v>1</v>
      </c>
      <c r="E7" s="96" t="s">
        <v>19</v>
      </c>
      <c r="F7" s="96" t="s">
        <v>112</v>
      </c>
      <c r="G7" s="14" t="s">
        <v>113</v>
      </c>
      <c r="H7" s="99" t="s">
        <v>139</v>
      </c>
      <c r="I7" s="101" t="s">
        <v>2</v>
      </c>
      <c r="J7" s="106" t="s">
        <v>137</v>
      </c>
    </row>
    <row r="8" spans="1:25" ht="39.75" customHeight="1">
      <c r="A8" s="95"/>
      <c r="B8" s="1" t="s">
        <v>20</v>
      </c>
      <c r="C8" s="95"/>
      <c r="D8" s="96"/>
      <c r="E8" s="96"/>
      <c r="F8" s="96"/>
      <c r="G8" s="52" t="s">
        <v>114</v>
      </c>
      <c r="H8" s="100"/>
      <c r="I8" s="102"/>
      <c r="J8" s="107"/>
      <c r="L8" s="110" t="s">
        <v>138</v>
      </c>
      <c r="M8" s="101" t="s">
        <v>26</v>
      </c>
      <c r="N8" s="106" t="s">
        <v>27</v>
      </c>
      <c r="O8" s="101" t="s">
        <v>28</v>
      </c>
      <c r="P8" s="101" t="s">
        <v>29</v>
      </c>
      <c r="Q8" s="101" t="s">
        <v>30</v>
      </c>
      <c r="R8" s="101" t="s">
        <v>31</v>
      </c>
      <c r="S8" s="101" t="s">
        <v>32</v>
      </c>
      <c r="T8" s="101" t="s">
        <v>33</v>
      </c>
      <c r="U8" s="101" t="s">
        <v>34</v>
      </c>
      <c r="V8" s="101" t="s">
        <v>35</v>
      </c>
      <c r="W8" s="101" t="s">
        <v>36</v>
      </c>
      <c r="X8" s="101" t="s">
        <v>37</v>
      </c>
      <c r="Y8" s="101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11"/>
      <c r="M9" s="102"/>
      <c r="N9" s="107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1:25" s="15" customFormat="1" ht="19.5" customHeight="1">
      <c r="A10" s="108" t="s">
        <v>6</v>
      </c>
      <c r="B10" s="109"/>
      <c r="C10" s="109"/>
      <c r="D10" s="109"/>
      <c r="E10" s="109"/>
      <c r="F10" s="109"/>
      <c r="G10" s="109"/>
      <c r="H10" s="109"/>
      <c r="I10" s="109"/>
      <c r="J10" s="109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102896565.08</v>
      </c>
      <c r="I11" s="38">
        <f aca="true" t="shared" si="0" ref="I11:I18">H11/D11*100</f>
        <v>53.368810040455514</v>
      </c>
      <c r="J11" s="38">
        <f>(H11/(M11+N11+O11+P11+Q11+R11+S11+V11+W11+O29+P29+Q29+R29+S29+T11+T29+U11+U29+V29+W29))*100</f>
        <v>85.00194328115988</v>
      </c>
      <c r="K11" s="40"/>
      <c r="L11" s="49">
        <f>M11+N11+O11+P11+Q11+R11+S11+T11+U11+V11+W11+X11-H12</f>
        <v>51370309.91999999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70538406.37</v>
      </c>
      <c r="I12" s="54">
        <f t="shared" si="0"/>
        <v>57.861659540570656</v>
      </c>
      <c r="J12" s="79">
        <f>(H12/(M11+N11+O11+P11+Q11+R11+S11+T11+U11+V11+W11))*100</f>
        <v>84.11565828321898</v>
      </c>
      <c r="K12" s="112">
        <f>D12-H12</f>
        <v>51370309.92</v>
      </c>
      <c r="L12" s="45">
        <f>(M12+N12+O12+P12+Q12+R12+S12+T12+U12+V12+W12+X12)-(H13+H16+H17+H18)</f>
        <v>17639372.68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90">
        <f>((H13+H16+H17+H18)/(M12+N12+O12+P12+Q12+R12+S12+T12+U12+V12+W12))*100</f>
        <v>98.01987314978668</v>
      </c>
      <c r="K13" s="112">
        <f aca="true" t="shared" si="2" ref="K13:K28">D13-H13</f>
        <v>15801566.54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3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4" ref="D14:D19">E14</f>
        <v>0</v>
      </c>
      <c r="E14" s="17"/>
      <c r="F14" s="17"/>
      <c r="G14" s="17"/>
      <c r="H14" s="13"/>
      <c r="I14" s="17" t="e">
        <f t="shared" si="0"/>
        <v>#DIV/0!</v>
      </c>
      <c r="J14" s="91"/>
      <c r="K14" s="112">
        <f t="shared" si="2"/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3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4"/>
        <v>0</v>
      </c>
      <c r="E15" s="17"/>
      <c r="F15" s="17"/>
      <c r="G15" s="17"/>
      <c r="H15" s="13"/>
      <c r="I15" s="17" t="e">
        <f t="shared" si="0"/>
        <v>#DIV/0!</v>
      </c>
      <c r="J15" s="91"/>
      <c r="K15" s="112">
        <f t="shared" si="2"/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3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4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31577.39+15917.61+121677.93+62675.88+102268.28+39092.55+52605.2+54734.36+188440.48+957995.29+82453.86+90143.4+306140.06+185523.83+118297.71+35911.15+980849.61+90100.36+66061.72+190599.75+719657.04+52917.55+131060.36+138146.16</f>
        <v>4814847.53</v>
      </c>
      <c r="I16" s="17">
        <f t="shared" si="0"/>
        <v>80.33046698254864</v>
      </c>
      <c r="J16" s="91"/>
      <c r="K16" s="112">
        <f t="shared" si="2"/>
        <v>1178952.4699999997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4"/>
        <v>4387435</v>
      </c>
      <c r="E17" s="17">
        <f>3770435+617000</f>
        <v>4387435</v>
      </c>
      <c r="F17" s="17"/>
      <c r="G17" s="17"/>
      <c r="H17" s="17">
        <f>375177+377002+518168.27+377588+377041+376903+377045+400325+377335+213706</f>
        <v>3770290.27</v>
      </c>
      <c r="I17" s="17">
        <f t="shared" si="0"/>
        <v>85.93381485993524</v>
      </c>
      <c r="J17" s="91"/>
      <c r="K17" s="112">
        <f t="shared" si="2"/>
        <v>617144.73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4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92"/>
      <c r="K18" s="112">
        <f t="shared" si="2"/>
        <v>41708.94</v>
      </c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4"/>
        <v>0</v>
      </c>
      <c r="E19" s="17"/>
      <c r="F19" s="17"/>
      <c r="G19" s="17"/>
      <c r="H19" s="13"/>
      <c r="I19" s="13"/>
      <c r="J19" s="51" t="e">
        <f>(H19/(M19+N19))*100</f>
        <v>#DIV/0!</v>
      </c>
      <c r="K19" s="112">
        <f t="shared" si="2"/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3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K20" s="112">
        <f t="shared" si="2"/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3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38411017.050000004</v>
      </c>
      <c r="I21" s="33">
        <f>H21/D21*100</f>
        <v>53.243660264030815</v>
      </c>
      <c r="J21" s="90">
        <f>(H21/(M21+N21+O21+P21+Q21+R21+S21+T21+U21+V21+W21))*100</f>
        <v>75.19419159063155</v>
      </c>
      <c r="K21" s="112">
        <f t="shared" si="2"/>
        <v>33730937.24</v>
      </c>
      <c r="L21" s="50">
        <f>(M21+N21+O21+P21+Q21+R21+S21+T21+U21+V21+W21+X21)-H21</f>
        <v>33730937.23999999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3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5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+633946</f>
        <v>13667763.160000002</v>
      </c>
      <c r="I22" s="21">
        <f aca="true" t="shared" si="6" ref="I22:I28">H22/D22*100</f>
        <v>54.04859122938851</v>
      </c>
      <c r="J22" s="91"/>
      <c r="K22" s="112">
        <f t="shared" si="2"/>
        <v>11620154.339999998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3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5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3018.28+221000+2320.65+77508.36+435632.12+3420+260295.43+449818+464448+244633.38</f>
        <v>2162094.2199999997</v>
      </c>
      <c r="I23" s="21">
        <f t="shared" si="6"/>
        <v>99.28220805910841</v>
      </c>
      <c r="J23" s="91"/>
      <c r="K23" s="112">
        <f t="shared" si="2"/>
        <v>15631.540000000037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3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5"/>
        <v>1090451.52</v>
      </c>
      <c r="E24" s="21">
        <v>1090451.52</v>
      </c>
      <c r="F24" s="21"/>
      <c r="G24" s="21"/>
      <c r="H24" s="21">
        <f>2820.64+34500+52475.54+162250+142000+248550+354532.41+6450.14+17528.4+69025.56</f>
        <v>1090132.69</v>
      </c>
      <c r="I24" s="21">
        <f t="shared" si="6"/>
        <v>99.97076165293437</v>
      </c>
      <c r="J24" s="91"/>
      <c r="K24" s="112">
        <f t="shared" si="2"/>
        <v>318.8300000000745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3"/>
        <v>0</v>
      </c>
      <c r="Z24" s="48"/>
    </row>
    <row r="25" spans="1:26" s="86" customFormat="1" ht="37.5">
      <c r="A25" s="26"/>
      <c r="B25" s="63"/>
      <c r="C25" s="20" t="s">
        <v>24</v>
      </c>
      <c r="D25" s="21">
        <f t="shared" si="5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26983.36+34475.26+63440+49627.68+79670+34437.03+5002.5+63090+20955.76+29601.77+67621.66+62553.1+20194.29+13201.67+134900.02+88289.97+3238.8+57696+20644.06+67745.4+374177.1</f>
        <v>1317545.4300000002</v>
      </c>
      <c r="I25" s="21">
        <f t="shared" si="6"/>
        <v>96.0863627267487</v>
      </c>
      <c r="J25" s="91"/>
      <c r="K25" s="112">
        <f t="shared" si="2"/>
        <v>53664.169999999925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8">
        <f t="shared" si="3"/>
        <v>0</v>
      </c>
      <c r="Z25" s="89"/>
    </row>
    <row r="26" spans="1:26" s="29" customFormat="1" ht="18.75">
      <c r="A26" s="26"/>
      <c r="B26" s="27"/>
      <c r="C26" s="28" t="s">
        <v>22</v>
      </c>
      <c r="D26" s="21">
        <f t="shared" si="5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6"/>
        <v>88.50387662349266</v>
      </c>
      <c r="J26" s="91"/>
      <c r="K26" s="112">
        <f t="shared" si="2"/>
        <v>567531.4299999997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3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5"/>
        <v>1541862.2</v>
      </c>
      <c r="E27" s="21">
        <f>1041862.2+200000+300000</f>
        <v>1541862.2</v>
      </c>
      <c r="F27" s="21"/>
      <c r="G27" s="21"/>
      <c r="H27" s="21">
        <f>86531.11+203443.22+192114.36+217561.1+158829.2+11829.92</f>
        <v>870308.91</v>
      </c>
      <c r="I27" s="21">
        <f t="shared" si="6"/>
        <v>56.44531074177706</v>
      </c>
      <c r="J27" s="91"/>
      <c r="K27" s="112">
        <f t="shared" si="2"/>
        <v>671553.2899999999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3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5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+871434</f>
        <v>14933984</v>
      </c>
      <c r="I28" s="21">
        <f t="shared" si="6"/>
        <v>41.789667935607255</v>
      </c>
      <c r="J28" s="92"/>
      <c r="K28" s="112">
        <f t="shared" si="2"/>
        <v>20802083.64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3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7" ref="D29:D85">E29+F29</f>
        <v>70894093.07000001</v>
      </c>
      <c r="E29" s="21"/>
      <c r="F29" s="54">
        <f aca="true" t="shared" si="8" ref="F29:F85">G29</f>
        <v>70894093.07000001</v>
      </c>
      <c r="G29" s="54">
        <f>SUM(G30:G85)</f>
        <v>70894093.07000001</v>
      </c>
      <c r="H29" s="54">
        <f>SUM(H30:H85)</f>
        <v>32358158.709999997</v>
      </c>
      <c r="I29" s="54">
        <f>H29/D29*100</f>
        <v>45.64295459432696</v>
      </c>
      <c r="J29" s="79">
        <f>(H29/(M29+N29+O29+P29+Q29+R29+S29+T29+U29+V29+W29))*100</f>
        <v>87.00023467067611</v>
      </c>
      <c r="L29" s="50">
        <f>(M29+N29+O29+P29+Q29+R29+S29+T29+U29+V29+W29)-H29</f>
        <v>4835026.84</v>
      </c>
      <c r="M29" s="65">
        <f>SUM(M30:M85)</f>
        <v>0</v>
      </c>
      <c r="N29" s="65">
        <f aca="true" t="shared" si="9" ref="N29:X29">SUM(N30:N85)</f>
        <v>0</v>
      </c>
      <c r="O29" s="73">
        <f t="shared" si="9"/>
        <v>2104750</v>
      </c>
      <c r="P29" s="73">
        <f t="shared" si="9"/>
        <v>8151111.27</v>
      </c>
      <c r="Q29" s="73">
        <f t="shared" si="9"/>
        <v>4448947.61</v>
      </c>
      <c r="R29" s="73">
        <f t="shared" si="9"/>
        <v>2846064.12</v>
      </c>
      <c r="S29" s="73">
        <f t="shared" si="9"/>
        <v>8179235.73</v>
      </c>
      <c r="T29" s="73">
        <f t="shared" si="9"/>
        <v>2414356.55</v>
      </c>
      <c r="U29" s="73">
        <f t="shared" si="9"/>
        <v>665928.1099999999</v>
      </c>
      <c r="V29" s="73">
        <f t="shared" si="9"/>
        <v>2032838.79</v>
      </c>
      <c r="W29" s="73">
        <f t="shared" si="9"/>
        <v>6349953.37</v>
      </c>
      <c r="X29" s="73">
        <f t="shared" si="9"/>
        <v>33700907.519999996</v>
      </c>
      <c r="Y29" s="45">
        <f t="shared" si="3"/>
        <v>70894093.07</v>
      </c>
      <c r="Z29" s="48">
        <f aca="true" t="shared" si="10" ref="Z29:Z92">Y29-D29</f>
        <v>0</v>
      </c>
    </row>
    <row r="30" spans="1:26" ht="18.75">
      <c r="A30" s="26"/>
      <c r="B30" s="27"/>
      <c r="C30" s="55" t="s">
        <v>40</v>
      </c>
      <c r="D30" s="17">
        <f t="shared" si="7"/>
        <v>1109220</v>
      </c>
      <c r="E30" s="21"/>
      <c r="F30" s="56">
        <f t="shared" si="8"/>
        <v>1109220</v>
      </c>
      <c r="G30" s="56">
        <f>150000+959220</f>
        <v>1109220</v>
      </c>
      <c r="H30" s="56">
        <f>26000+27000</f>
        <v>53000</v>
      </c>
      <c r="I30" s="17">
        <f aca="true" t="shared" si="11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3"/>
        <v>1109220</v>
      </c>
      <c r="Z30" s="48">
        <f t="shared" si="10"/>
        <v>0</v>
      </c>
    </row>
    <row r="31" spans="1:26" ht="18.75">
      <c r="A31" s="26"/>
      <c r="B31" s="27"/>
      <c r="C31" s="55" t="s">
        <v>41</v>
      </c>
      <c r="D31" s="17">
        <f t="shared" si="7"/>
        <v>407256</v>
      </c>
      <c r="E31" s="21"/>
      <c r="F31" s="56">
        <f t="shared" si="8"/>
        <v>407256</v>
      </c>
      <c r="G31" s="56">
        <f>130000+277256</f>
        <v>407256</v>
      </c>
      <c r="H31" s="56">
        <f>20000</f>
        <v>20000</v>
      </c>
      <c r="I31" s="17">
        <f t="shared" si="11"/>
        <v>4.910915984049345</v>
      </c>
      <c r="J31" s="51">
        <f aca="true" t="shared" si="12" ref="J31:J85">(H31/(M31+N31+O31+P31+Q31+R31+S31+T31+U31+V31+W31))*100</f>
        <v>100</v>
      </c>
      <c r="L31" s="45">
        <f aca="true" t="shared" si="13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3"/>
        <v>407256</v>
      </c>
      <c r="Z31" s="48">
        <f t="shared" si="10"/>
        <v>0</v>
      </c>
    </row>
    <row r="32" spans="1:26" ht="37.5">
      <c r="A32" s="26"/>
      <c r="B32" s="27"/>
      <c r="C32" s="55" t="s">
        <v>42</v>
      </c>
      <c r="D32" s="17">
        <f t="shared" si="7"/>
        <v>1141392</v>
      </c>
      <c r="E32" s="21"/>
      <c r="F32" s="56">
        <f t="shared" si="8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1"/>
        <v>99.92228787305325</v>
      </c>
      <c r="J32" s="51">
        <f t="shared" si="12"/>
        <v>99.92228787305325</v>
      </c>
      <c r="L32" s="45">
        <f t="shared" si="13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3"/>
        <v>1141392</v>
      </c>
      <c r="Z32" s="48">
        <f t="shared" si="10"/>
        <v>0</v>
      </c>
    </row>
    <row r="33" spans="1:26" ht="37.5">
      <c r="A33" s="26"/>
      <c r="B33" s="27"/>
      <c r="C33" s="55" t="s">
        <v>43</v>
      </c>
      <c r="D33" s="17">
        <f t="shared" si="7"/>
        <v>115000</v>
      </c>
      <c r="E33" s="21"/>
      <c r="F33" s="56">
        <f t="shared" si="8"/>
        <v>115000</v>
      </c>
      <c r="G33" s="56">
        <v>115000</v>
      </c>
      <c r="H33" s="56">
        <f>2376+63387.51</f>
        <v>65763.51000000001</v>
      </c>
      <c r="I33" s="56">
        <f t="shared" si="11"/>
        <v>57.185660869565226</v>
      </c>
      <c r="J33" s="51">
        <f t="shared" si="12"/>
        <v>57.185660869565226</v>
      </c>
      <c r="L33" s="45">
        <f t="shared" si="13"/>
        <v>49236.48999999999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3"/>
        <v>115000</v>
      </c>
      <c r="Z33" s="48">
        <f t="shared" si="10"/>
        <v>0</v>
      </c>
    </row>
    <row r="34" spans="1:26" ht="37.5">
      <c r="A34" s="26"/>
      <c r="B34" s="27"/>
      <c r="C34" s="55" t="s">
        <v>44</v>
      </c>
      <c r="D34" s="17">
        <f t="shared" si="7"/>
        <v>650000</v>
      </c>
      <c r="E34" s="21"/>
      <c r="F34" s="56">
        <f t="shared" si="8"/>
        <v>650000</v>
      </c>
      <c r="G34" s="57">
        <v>650000</v>
      </c>
      <c r="H34" s="56">
        <v>500000</v>
      </c>
      <c r="I34" s="17">
        <f t="shared" si="11"/>
        <v>76.92307692307693</v>
      </c>
      <c r="J34" s="51">
        <f t="shared" si="12"/>
        <v>76.92307692307693</v>
      </c>
      <c r="L34" s="45">
        <f t="shared" si="13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3"/>
        <v>650000</v>
      </c>
      <c r="Z34" s="48">
        <f t="shared" si="10"/>
        <v>0</v>
      </c>
    </row>
    <row r="35" spans="1:26" ht="37.5">
      <c r="A35" s="26"/>
      <c r="B35" s="27"/>
      <c r="C35" s="55" t="s">
        <v>45</v>
      </c>
      <c r="D35" s="17">
        <f t="shared" si="7"/>
        <v>888000</v>
      </c>
      <c r="E35" s="21"/>
      <c r="F35" s="56">
        <f t="shared" si="8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1"/>
        <v>99.40007657657657</v>
      </c>
      <c r="J35" s="51">
        <f t="shared" si="12"/>
        <v>99.99999999999999</v>
      </c>
      <c r="L35" s="45">
        <f t="shared" si="13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3"/>
        <v>888000</v>
      </c>
      <c r="Z35" s="48">
        <f t="shared" si="10"/>
        <v>0</v>
      </c>
    </row>
    <row r="36" spans="1:26" ht="18.75">
      <c r="A36" s="26"/>
      <c r="B36" s="27"/>
      <c r="C36" s="55" t="s">
        <v>119</v>
      </c>
      <c r="D36" s="17">
        <f t="shared" si="7"/>
        <v>350000</v>
      </c>
      <c r="E36" s="21"/>
      <c r="F36" s="56">
        <f t="shared" si="8"/>
        <v>350000</v>
      </c>
      <c r="G36" s="56">
        <v>350000</v>
      </c>
      <c r="H36" s="56"/>
      <c r="I36" s="17"/>
      <c r="J36" s="81" t="e">
        <f t="shared" si="12"/>
        <v>#DIV/0!</v>
      </c>
      <c r="L36" s="45">
        <f t="shared" si="13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3"/>
        <v>350000</v>
      </c>
      <c r="Z36" s="48">
        <f t="shared" si="10"/>
        <v>0</v>
      </c>
    </row>
    <row r="37" spans="1:26" ht="37.5">
      <c r="A37" s="26"/>
      <c r="B37" s="27"/>
      <c r="C37" s="55" t="s">
        <v>46</v>
      </c>
      <c r="D37" s="17">
        <f t="shared" si="7"/>
        <v>328000</v>
      </c>
      <c r="E37" s="21"/>
      <c r="F37" s="56">
        <f t="shared" si="8"/>
        <v>328000</v>
      </c>
      <c r="G37" s="56">
        <f>294000+34000</f>
        <v>328000</v>
      </c>
      <c r="H37" s="56">
        <f>270000+49985.45</f>
        <v>319985.45</v>
      </c>
      <c r="I37" s="17">
        <f t="shared" si="11"/>
        <v>97.55653963414635</v>
      </c>
      <c r="J37" s="51">
        <f t="shared" si="12"/>
        <v>100</v>
      </c>
      <c r="L37" s="45">
        <f t="shared" si="13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3"/>
        <v>328000</v>
      </c>
      <c r="Z37" s="48">
        <f t="shared" si="10"/>
        <v>0</v>
      </c>
    </row>
    <row r="38" spans="1:26" ht="37.5">
      <c r="A38" s="26"/>
      <c r="B38" s="27"/>
      <c r="C38" s="55" t="s">
        <v>47</v>
      </c>
      <c r="D38" s="17">
        <f t="shared" si="7"/>
        <v>330316.47</v>
      </c>
      <c r="E38" s="21"/>
      <c r="F38" s="56">
        <f t="shared" si="8"/>
        <v>330316.47</v>
      </c>
      <c r="G38" s="56">
        <v>330316.47</v>
      </c>
      <c r="H38" s="56"/>
      <c r="I38" s="39">
        <f t="shared" si="11"/>
        <v>0</v>
      </c>
      <c r="J38" s="51">
        <f t="shared" si="12"/>
        <v>0</v>
      </c>
      <c r="L38" s="45">
        <f t="shared" si="13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5">
        <f>278000-59000</f>
        <v>219000</v>
      </c>
      <c r="W38" s="85"/>
      <c r="X38" s="85">
        <f>50000+59000</f>
        <v>109000</v>
      </c>
      <c r="Y38" s="45">
        <f t="shared" si="3"/>
        <v>330316.47</v>
      </c>
      <c r="Z38" s="48">
        <f t="shared" si="10"/>
        <v>0</v>
      </c>
    </row>
    <row r="39" spans="1:26" ht="37.5">
      <c r="A39" s="26"/>
      <c r="B39" s="27"/>
      <c r="C39" s="55" t="s">
        <v>120</v>
      </c>
      <c r="D39" s="17">
        <f t="shared" si="7"/>
        <v>1550000</v>
      </c>
      <c r="E39" s="21"/>
      <c r="F39" s="56">
        <f t="shared" si="8"/>
        <v>1550000</v>
      </c>
      <c r="G39" s="56">
        <f>1550000</f>
        <v>1550000</v>
      </c>
      <c r="H39" s="56"/>
      <c r="I39" s="39"/>
      <c r="J39" s="81" t="e">
        <f t="shared" si="12"/>
        <v>#DIV/0!</v>
      </c>
      <c r="L39" s="45">
        <f t="shared" si="13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3"/>
        <v>1550000</v>
      </c>
      <c r="Z39" s="48">
        <f t="shared" si="10"/>
        <v>0</v>
      </c>
    </row>
    <row r="40" spans="1:26" ht="37.5">
      <c r="A40" s="26"/>
      <c r="B40" s="27"/>
      <c r="C40" s="55" t="s">
        <v>48</v>
      </c>
      <c r="D40" s="17">
        <f t="shared" si="7"/>
        <v>166000</v>
      </c>
      <c r="E40" s="21"/>
      <c r="F40" s="56">
        <f t="shared" si="8"/>
        <v>166000</v>
      </c>
      <c r="G40" s="56">
        <v>166000</v>
      </c>
      <c r="H40" s="56"/>
      <c r="I40" s="39">
        <f t="shared" si="11"/>
        <v>0</v>
      </c>
      <c r="J40" s="51">
        <f t="shared" si="12"/>
        <v>0</v>
      </c>
      <c r="L40" s="45">
        <f t="shared" si="13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3"/>
        <v>166000</v>
      </c>
      <c r="Z40" s="48">
        <f t="shared" si="10"/>
        <v>0</v>
      </c>
    </row>
    <row r="41" spans="1:26" ht="18.75">
      <c r="A41" s="26"/>
      <c r="B41" s="27"/>
      <c r="C41" s="55" t="s">
        <v>49</v>
      </c>
      <c r="D41" s="17">
        <f t="shared" si="7"/>
        <v>251440</v>
      </c>
      <c r="E41" s="21"/>
      <c r="F41" s="56">
        <f t="shared" si="8"/>
        <v>251440</v>
      </c>
      <c r="G41" s="57">
        <f>200000+51440</f>
        <v>251440</v>
      </c>
      <c r="H41" s="56">
        <f>11000+145000+41675.25+2324.75</f>
        <v>200000</v>
      </c>
      <c r="I41" s="17">
        <f t="shared" si="11"/>
        <v>79.54183900731785</v>
      </c>
      <c r="J41" s="51">
        <f t="shared" si="12"/>
        <v>100</v>
      </c>
      <c r="L41" s="45">
        <f t="shared" si="13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3"/>
        <v>251440</v>
      </c>
      <c r="Z41" s="48">
        <f t="shared" si="10"/>
        <v>0</v>
      </c>
    </row>
    <row r="42" spans="1:26" ht="18.75">
      <c r="A42" s="26"/>
      <c r="B42" s="27"/>
      <c r="C42" s="55" t="s">
        <v>50</v>
      </c>
      <c r="D42" s="17">
        <f t="shared" si="7"/>
        <v>1588602</v>
      </c>
      <c r="E42" s="21"/>
      <c r="F42" s="56">
        <f t="shared" si="8"/>
        <v>1588602</v>
      </c>
      <c r="G42" s="56">
        <f>200000+1388602</f>
        <v>1588602</v>
      </c>
      <c r="H42" s="56">
        <f>28000+45000</f>
        <v>73000</v>
      </c>
      <c r="I42" s="17">
        <f t="shared" si="11"/>
        <v>4.59523530752196</v>
      </c>
      <c r="J42" s="51">
        <f t="shared" si="12"/>
        <v>100</v>
      </c>
      <c r="L42" s="45">
        <f t="shared" si="13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3"/>
        <v>1588602</v>
      </c>
      <c r="Z42" s="48">
        <f t="shared" si="10"/>
        <v>0</v>
      </c>
    </row>
    <row r="43" spans="1:26" ht="37.5">
      <c r="A43" s="26"/>
      <c r="B43" s="27"/>
      <c r="C43" s="55" t="s">
        <v>51</v>
      </c>
      <c r="D43" s="17">
        <f t="shared" si="7"/>
        <v>183000</v>
      </c>
      <c r="E43" s="21"/>
      <c r="F43" s="56">
        <f t="shared" si="8"/>
        <v>183000</v>
      </c>
      <c r="G43" s="56">
        <v>183000</v>
      </c>
      <c r="H43" s="56">
        <f>182577.11</f>
        <v>182577.11</v>
      </c>
      <c r="I43" s="17">
        <f t="shared" si="11"/>
        <v>99.768912568306</v>
      </c>
      <c r="J43" s="51">
        <f t="shared" si="12"/>
        <v>99.768912568306</v>
      </c>
      <c r="L43" s="45">
        <f t="shared" si="13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3"/>
        <v>183000</v>
      </c>
      <c r="Z43" s="48">
        <f t="shared" si="10"/>
        <v>0</v>
      </c>
    </row>
    <row r="44" spans="1:26" ht="18.75">
      <c r="A44" s="26"/>
      <c r="B44" s="27"/>
      <c r="C44" s="55" t="s">
        <v>52</v>
      </c>
      <c r="D44" s="17">
        <f t="shared" si="7"/>
        <v>200000</v>
      </c>
      <c r="E44" s="21"/>
      <c r="F44" s="56">
        <f t="shared" si="8"/>
        <v>200000</v>
      </c>
      <c r="G44" s="56">
        <v>200000</v>
      </c>
      <c r="H44" s="56">
        <f>15000+115000+49952.02+2134</f>
        <v>182086.02</v>
      </c>
      <c r="I44" s="17">
        <f t="shared" si="11"/>
        <v>91.04301</v>
      </c>
      <c r="J44" s="51">
        <f t="shared" si="12"/>
        <v>91.04301</v>
      </c>
      <c r="L44" s="45">
        <f t="shared" si="13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3"/>
        <v>200000</v>
      </c>
      <c r="Z44" s="48">
        <f t="shared" si="10"/>
        <v>0</v>
      </c>
    </row>
    <row r="45" spans="1:26" ht="37.5">
      <c r="A45" s="26"/>
      <c r="B45" s="27"/>
      <c r="C45" s="55" t="s">
        <v>53</v>
      </c>
      <c r="D45" s="17">
        <f t="shared" si="7"/>
        <v>424000</v>
      </c>
      <c r="E45" s="21"/>
      <c r="F45" s="56">
        <f t="shared" si="8"/>
        <v>424000</v>
      </c>
      <c r="G45" s="57">
        <f>450000-26000</f>
        <v>424000</v>
      </c>
      <c r="H45" s="56">
        <f>26000</f>
        <v>26000</v>
      </c>
      <c r="I45" s="17">
        <f t="shared" si="11"/>
        <v>6.132075471698113</v>
      </c>
      <c r="J45" s="51">
        <f t="shared" si="12"/>
        <v>11.607142857142858</v>
      </c>
      <c r="L45" s="45">
        <f t="shared" si="13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3"/>
        <v>424000</v>
      </c>
      <c r="Z45" s="48">
        <f t="shared" si="10"/>
        <v>0</v>
      </c>
    </row>
    <row r="46" spans="1:26" ht="18.75">
      <c r="A46" s="26"/>
      <c r="B46" s="27"/>
      <c r="C46" s="55" t="s">
        <v>54</v>
      </c>
      <c r="D46" s="17">
        <f t="shared" si="7"/>
        <v>163736</v>
      </c>
      <c r="E46" s="21"/>
      <c r="F46" s="56">
        <f t="shared" si="8"/>
        <v>163736</v>
      </c>
      <c r="G46" s="57">
        <v>163736</v>
      </c>
      <c r="H46" s="56"/>
      <c r="I46" s="39">
        <f t="shared" si="11"/>
        <v>0</v>
      </c>
      <c r="J46" s="81" t="e">
        <f t="shared" si="12"/>
        <v>#DIV/0!</v>
      </c>
      <c r="L46" s="45">
        <f t="shared" si="13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3"/>
        <v>163736</v>
      </c>
      <c r="Z46" s="48">
        <f t="shared" si="10"/>
        <v>0</v>
      </c>
    </row>
    <row r="47" spans="1:26" ht="37.5">
      <c r="A47" s="26"/>
      <c r="B47" s="27"/>
      <c r="C47" s="55" t="s">
        <v>55</v>
      </c>
      <c r="D47" s="17">
        <f t="shared" si="7"/>
        <v>262000</v>
      </c>
      <c r="E47" s="21"/>
      <c r="F47" s="56">
        <f t="shared" si="8"/>
        <v>262000</v>
      </c>
      <c r="G47" s="56">
        <v>262000</v>
      </c>
      <c r="H47" s="56"/>
      <c r="I47" s="39">
        <f t="shared" si="11"/>
        <v>0</v>
      </c>
      <c r="J47" s="81" t="e">
        <f t="shared" si="12"/>
        <v>#DIV/0!</v>
      </c>
      <c r="L47" s="45">
        <f t="shared" si="13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3"/>
        <v>262000</v>
      </c>
      <c r="Z47" s="48">
        <f t="shared" si="10"/>
        <v>0</v>
      </c>
    </row>
    <row r="48" spans="1:26" ht="18.75">
      <c r="A48" s="26"/>
      <c r="B48" s="27"/>
      <c r="C48" s="55" t="s">
        <v>56</v>
      </c>
      <c r="D48" s="17">
        <f t="shared" si="7"/>
        <v>91538</v>
      </c>
      <c r="E48" s="21"/>
      <c r="F48" s="56">
        <f t="shared" si="8"/>
        <v>91538</v>
      </c>
      <c r="G48" s="56">
        <f>145000-53462</f>
        <v>91538</v>
      </c>
      <c r="H48" s="56"/>
      <c r="I48" s="39">
        <f t="shared" si="11"/>
        <v>0</v>
      </c>
      <c r="J48" s="51">
        <f t="shared" si="12"/>
        <v>0</v>
      </c>
      <c r="L48" s="45">
        <f t="shared" si="13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3"/>
        <v>91538</v>
      </c>
      <c r="Z48" s="48">
        <f t="shared" si="10"/>
        <v>0</v>
      </c>
    </row>
    <row r="49" spans="1:26" ht="37.5" hidden="1">
      <c r="A49" s="26"/>
      <c r="B49" s="27"/>
      <c r="C49" s="58" t="s">
        <v>57</v>
      </c>
      <c r="D49" s="17">
        <f t="shared" si="7"/>
        <v>0</v>
      </c>
      <c r="E49" s="21"/>
      <c r="F49" s="56">
        <f t="shared" si="8"/>
        <v>0</v>
      </c>
      <c r="G49" s="57">
        <f>200000-200000</f>
        <v>0</v>
      </c>
      <c r="H49" s="56"/>
      <c r="I49" s="39" t="e">
        <f t="shared" si="11"/>
        <v>#DIV/0!</v>
      </c>
      <c r="J49" s="51" t="e">
        <f t="shared" si="12"/>
        <v>#DIV/0!</v>
      </c>
      <c r="L49" s="45">
        <f t="shared" si="13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3"/>
        <v>0</v>
      </c>
      <c r="Z49" s="48">
        <f t="shared" si="10"/>
        <v>0</v>
      </c>
    </row>
    <row r="50" spans="1:26" ht="37.5">
      <c r="A50" s="26"/>
      <c r="B50" s="27"/>
      <c r="C50" s="55" t="s">
        <v>58</v>
      </c>
      <c r="D50" s="17">
        <f t="shared" si="7"/>
        <v>900000</v>
      </c>
      <c r="E50" s="21"/>
      <c r="F50" s="56">
        <f t="shared" si="8"/>
        <v>900000</v>
      </c>
      <c r="G50" s="57">
        <f>600000+300000</f>
        <v>900000</v>
      </c>
      <c r="H50" s="56">
        <f>414000+125166</f>
        <v>539166</v>
      </c>
      <c r="I50" s="17">
        <f t="shared" si="11"/>
        <v>59.907333333333334</v>
      </c>
      <c r="J50" s="51">
        <f t="shared" si="12"/>
        <v>62.75457827707335</v>
      </c>
      <c r="L50" s="45">
        <f t="shared" si="13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3"/>
        <v>900000</v>
      </c>
      <c r="Z50" s="48">
        <f t="shared" si="10"/>
        <v>0</v>
      </c>
    </row>
    <row r="51" spans="1:26" ht="18.75">
      <c r="A51" s="26"/>
      <c r="B51" s="27"/>
      <c r="C51" s="55" t="s">
        <v>59</v>
      </c>
      <c r="D51" s="17">
        <f t="shared" si="7"/>
        <v>224010</v>
      </c>
      <c r="E51" s="21"/>
      <c r="F51" s="56">
        <f t="shared" si="8"/>
        <v>224010</v>
      </c>
      <c r="G51" s="56">
        <f>252000-91000+63010</f>
        <v>224010</v>
      </c>
      <c r="H51" s="56">
        <f>2300+158344.03</f>
        <v>160644.03</v>
      </c>
      <c r="I51" s="17">
        <f t="shared" si="11"/>
        <v>71.71288335342172</v>
      </c>
      <c r="J51" s="51">
        <f t="shared" si="12"/>
        <v>99.77890062111801</v>
      </c>
      <c r="L51" s="45">
        <f t="shared" si="13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3"/>
        <v>224010</v>
      </c>
      <c r="Z51" s="48">
        <f t="shared" si="10"/>
        <v>0</v>
      </c>
    </row>
    <row r="52" spans="1:26" ht="37.5">
      <c r="A52" s="26"/>
      <c r="B52" s="27"/>
      <c r="C52" s="55" t="s">
        <v>60</v>
      </c>
      <c r="D52" s="17">
        <f t="shared" si="7"/>
        <v>445673</v>
      </c>
      <c r="E52" s="21"/>
      <c r="F52" s="56">
        <f t="shared" si="8"/>
        <v>445673</v>
      </c>
      <c r="G52" s="56">
        <f>283000+162673</f>
        <v>445673</v>
      </c>
      <c r="H52" s="56">
        <f>2300+280495.35</f>
        <v>282795.35</v>
      </c>
      <c r="I52" s="17">
        <f t="shared" si="11"/>
        <v>63.45355226814278</v>
      </c>
      <c r="J52" s="51">
        <f t="shared" si="12"/>
        <v>99.92768551236747</v>
      </c>
      <c r="L52" s="45">
        <f t="shared" si="13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3"/>
        <v>445673</v>
      </c>
      <c r="Z52" s="48">
        <f t="shared" si="10"/>
        <v>0</v>
      </c>
    </row>
    <row r="53" spans="1:26" ht="37.5">
      <c r="A53" s="26"/>
      <c r="B53" s="27"/>
      <c r="C53" s="55" t="s">
        <v>61</v>
      </c>
      <c r="D53" s="17">
        <f t="shared" si="7"/>
        <v>1377000</v>
      </c>
      <c r="E53" s="21"/>
      <c r="F53" s="56">
        <f t="shared" si="8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1"/>
        <v>99.80590922294843</v>
      </c>
      <c r="J53" s="51">
        <f t="shared" si="12"/>
        <v>99.99999999999997</v>
      </c>
      <c r="L53" s="45">
        <f t="shared" si="13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3"/>
        <v>1377000</v>
      </c>
      <c r="Z53" s="48">
        <f t="shared" si="10"/>
        <v>0</v>
      </c>
    </row>
    <row r="54" spans="1:26" ht="37.5">
      <c r="A54" s="26"/>
      <c r="B54" s="27"/>
      <c r="C54" s="55" t="s">
        <v>62</v>
      </c>
      <c r="D54" s="17">
        <f t="shared" si="7"/>
        <v>325000</v>
      </c>
      <c r="E54" s="21"/>
      <c r="F54" s="56">
        <f t="shared" si="8"/>
        <v>325000</v>
      </c>
      <c r="G54" s="56">
        <v>325000</v>
      </c>
      <c r="H54" s="56">
        <f>304965.4</f>
        <v>304965.4</v>
      </c>
      <c r="I54" s="17">
        <f t="shared" si="11"/>
        <v>93.8355076923077</v>
      </c>
      <c r="J54" s="51">
        <f t="shared" si="12"/>
        <v>99.98865573770492</v>
      </c>
      <c r="L54" s="45">
        <f t="shared" si="13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3"/>
        <v>325000</v>
      </c>
      <c r="Z54" s="48">
        <f t="shared" si="10"/>
        <v>0</v>
      </c>
    </row>
    <row r="55" spans="1:26" ht="37.5">
      <c r="A55" s="26"/>
      <c r="B55" s="27"/>
      <c r="C55" s="55" t="s">
        <v>63</v>
      </c>
      <c r="D55" s="17">
        <f t="shared" si="7"/>
        <v>451402</v>
      </c>
      <c r="E55" s="21"/>
      <c r="F55" s="56">
        <f t="shared" si="8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1"/>
        <v>69.17074359440144</v>
      </c>
      <c r="J55" s="51">
        <f t="shared" si="12"/>
        <v>100</v>
      </c>
      <c r="L55" s="45">
        <f t="shared" si="13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3"/>
        <v>451402</v>
      </c>
      <c r="Z55" s="48">
        <f t="shared" si="10"/>
        <v>0</v>
      </c>
    </row>
    <row r="56" spans="1:26" ht="18.75">
      <c r="A56" s="26"/>
      <c r="B56" s="27"/>
      <c r="C56" s="55" t="s">
        <v>64</v>
      </c>
      <c r="D56" s="17">
        <f t="shared" si="7"/>
        <v>905656</v>
      </c>
      <c r="E56" s="21"/>
      <c r="F56" s="56">
        <f t="shared" si="8"/>
        <v>905656</v>
      </c>
      <c r="G56" s="56">
        <v>905656</v>
      </c>
      <c r="H56" s="56">
        <f>663625.68+42451.48+94167.38</f>
        <v>800244.54</v>
      </c>
      <c r="I56" s="17">
        <f t="shared" si="11"/>
        <v>88.3607617020149</v>
      </c>
      <c r="J56" s="51">
        <f t="shared" si="12"/>
        <v>88.3607617020149</v>
      </c>
      <c r="L56" s="45">
        <f t="shared" si="13"/>
        <v>105411.45999999996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3"/>
        <v>905656</v>
      </c>
      <c r="Z56" s="48">
        <f t="shared" si="10"/>
        <v>0</v>
      </c>
    </row>
    <row r="57" spans="1:26" ht="37.5">
      <c r="A57" s="26"/>
      <c r="B57" s="27"/>
      <c r="C57" s="55" t="s">
        <v>65</v>
      </c>
      <c r="D57" s="17">
        <f t="shared" si="7"/>
        <v>600000</v>
      </c>
      <c r="E57" s="21"/>
      <c r="F57" s="56">
        <f t="shared" si="8"/>
        <v>600000</v>
      </c>
      <c r="G57" s="56">
        <f>3500000-2900000</f>
        <v>600000</v>
      </c>
      <c r="H57" s="56"/>
      <c r="I57" s="39">
        <f t="shared" si="11"/>
        <v>0</v>
      </c>
      <c r="J57" s="51">
        <f t="shared" si="12"/>
        <v>0</v>
      </c>
      <c r="L57" s="45">
        <f t="shared" si="13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3"/>
        <v>600000</v>
      </c>
      <c r="Z57" s="48">
        <f t="shared" si="10"/>
        <v>0</v>
      </c>
    </row>
    <row r="58" spans="1:26" ht="18.75">
      <c r="A58" s="26"/>
      <c r="B58" s="27"/>
      <c r="C58" s="55" t="s">
        <v>66</v>
      </c>
      <c r="D58" s="17">
        <f t="shared" si="7"/>
        <v>38043.27</v>
      </c>
      <c r="E58" s="21"/>
      <c r="F58" s="56">
        <f t="shared" si="8"/>
        <v>38043.27</v>
      </c>
      <c r="G58" s="56">
        <v>38043.27</v>
      </c>
      <c r="H58" s="56"/>
      <c r="I58" s="39">
        <f t="shared" si="11"/>
        <v>0</v>
      </c>
      <c r="J58" s="81" t="e">
        <f t="shared" si="12"/>
        <v>#DIV/0!</v>
      </c>
      <c r="L58" s="45">
        <f t="shared" si="13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3"/>
        <v>38043.27</v>
      </c>
      <c r="Z58" s="48">
        <f t="shared" si="10"/>
        <v>0</v>
      </c>
    </row>
    <row r="59" spans="1:26" ht="18.75">
      <c r="A59" s="26"/>
      <c r="B59" s="27"/>
      <c r="C59" s="55" t="s">
        <v>121</v>
      </c>
      <c r="D59" s="17">
        <f t="shared" si="7"/>
        <v>1455677.6</v>
      </c>
      <c r="E59" s="21"/>
      <c r="F59" s="56">
        <f t="shared" si="8"/>
        <v>1455677.6</v>
      </c>
      <c r="G59" s="56">
        <f>1455677.6</f>
        <v>1455677.6</v>
      </c>
      <c r="H59" s="56">
        <f>182500</f>
        <v>182500</v>
      </c>
      <c r="I59" s="17">
        <f t="shared" si="11"/>
        <v>12.537116735189166</v>
      </c>
      <c r="J59" s="51">
        <f t="shared" si="12"/>
        <v>100</v>
      </c>
      <c r="L59" s="45">
        <f t="shared" si="13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3"/>
        <v>1455677.6</v>
      </c>
      <c r="Z59" s="48">
        <f t="shared" si="10"/>
        <v>0</v>
      </c>
    </row>
    <row r="60" spans="1:26" ht="37.5">
      <c r="A60" s="26"/>
      <c r="B60" s="27"/>
      <c r="C60" s="55" t="s">
        <v>67</v>
      </c>
      <c r="D60" s="17">
        <f t="shared" si="7"/>
        <v>303000</v>
      </c>
      <c r="E60" s="21"/>
      <c r="F60" s="56">
        <f t="shared" si="8"/>
        <v>303000</v>
      </c>
      <c r="G60" s="56">
        <v>303000</v>
      </c>
      <c r="H60" s="56">
        <f>292764.73+4169.59</f>
        <v>296934.32</v>
      </c>
      <c r="I60" s="17">
        <f t="shared" si="11"/>
        <v>97.99812541254126</v>
      </c>
      <c r="J60" s="51">
        <f t="shared" si="12"/>
        <v>100</v>
      </c>
      <c r="L60" s="45">
        <f t="shared" si="13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3"/>
        <v>303000</v>
      </c>
      <c r="Z60" s="48">
        <f t="shared" si="10"/>
        <v>0</v>
      </c>
    </row>
    <row r="61" spans="1:26" ht="18.75">
      <c r="A61" s="26"/>
      <c r="B61" s="27"/>
      <c r="C61" s="55" t="s">
        <v>68</v>
      </c>
      <c r="D61" s="17">
        <f t="shared" si="7"/>
        <v>359000</v>
      </c>
      <c r="E61" s="21"/>
      <c r="F61" s="56">
        <f t="shared" si="8"/>
        <v>359000</v>
      </c>
      <c r="G61" s="56">
        <v>359000</v>
      </c>
      <c r="H61" s="56">
        <f>274488.71</f>
        <v>274488.71</v>
      </c>
      <c r="I61" s="17">
        <f t="shared" si="11"/>
        <v>76.45925069637883</v>
      </c>
      <c r="J61" s="51">
        <f t="shared" si="12"/>
        <v>76.45925069637883</v>
      </c>
      <c r="L61" s="45">
        <f t="shared" si="13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3"/>
        <v>359000</v>
      </c>
      <c r="Z61" s="48">
        <f t="shared" si="10"/>
        <v>0</v>
      </c>
    </row>
    <row r="62" spans="1:26" ht="18.75">
      <c r="A62" s="26"/>
      <c r="B62" s="27"/>
      <c r="C62" s="55" t="s">
        <v>69</v>
      </c>
      <c r="D62" s="17">
        <f t="shared" si="7"/>
        <v>478000</v>
      </c>
      <c r="E62" s="21"/>
      <c r="F62" s="56">
        <f t="shared" si="8"/>
        <v>478000</v>
      </c>
      <c r="G62" s="56">
        <f>1700000-95164.55-1126835.45</f>
        <v>478000</v>
      </c>
      <c r="H62" s="56">
        <f>250000+228000</f>
        <v>478000</v>
      </c>
      <c r="I62" s="17">
        <f t="shared" si="11"/>
        <v>100</v>
      </c>
      <c r="J62" s="51">
        <f t="shared" si="12"/>
        <v>100</v>
      </c>
      <c r="L62" s="45">
        <f t="shared" si="13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3"/>
        <v>478000</v>
      </c>
      <c r="Z62" s="48">
        <f t="shared" si="10"/>
        <v>0</v>
      </c>
    </row>
    <row r="63" spans="1:26" ht="18.75">
      <c r="A63" s="26"/>
      <c r="B63" s="27"/>
      <c r="C63" s="55" t="s">
        <v>70</v>
      </c>
      <c r="D63" s="17">
        <f t="shared" si="7"/>
        <v>1510000</v>
      </c>
      <c r="E63" s="21"/>
      <c r="F63" s="56">
        <f t="shared" si="8"/>
        <v>1510000</v>
      </c>
      <c r="G63" s="56">
        <f>1790000-280000</f>
        <v>1510000</v>
      </c>
      <c r="H63" s="56">
        <f>251332.8+3161.64</f>
        <v>254494.44</v>
      </c>
      <c r="I63" s="39">
        <f t="shared" si="11"/>
        <v>16.85393642384106</v>
      </c>
      <c r="J63" s="51">
        <f t="shared" si="12"/>
        <v>89.61071830985917</v>
      </c>
      <c r="L63" s="45">
        <f t="shared" si="13"/>
        <v>29505.559999999998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3"/>
        <v>1510000</v>
      </c>
      <c r="Z63" s="48">
        <f t="shared" si="10"/>
        <v>0</v>
      </c>
    </row>
    <row r="64" spans="1:26" ht="18.75">
      <c r="A64" s="26"/>
      <c r="B64" s="27"/>
      <c r="C64" s="55" t="s">
        <v>71</v>
      </c>
      <c r="D64" s="17">
        <f t="shared" si="7"/>
        <v>17979000</v>
      </c>
      <c r="E64" s="21"/>
      <c r="F64" s="56">
        <f t="shared" si="8"/>
        <v>17979000</v>
      </c>
      <c r="G64" s="56">
        <f>10479000-7000000+1500000+2900000+100000+10000000</f>
        <v>17979000</v>
      </c>
      <c r="H64" s="56">
        <f>3930000+109000+110891.2+3028941</f>
        <v>7178832.2</v>
      </c>
      <c r="I64" s="17">
        <f t="shared" si="11"/>
        <v>39.928984926859115</v>
      </c>
      <c r="J64" s="51">
        <f t="shared" si="12"/>
        <v>87.55741187949751</v>
      </c>
      <c r="L64" s="45">
        <f t="shared" si="13"/>
        <v>1020167.7999999998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3"/>
        <v>17979000</v>
      </c>
      <c r="Z64" s="48">
        <f t="shared" si="10"/>
        <v>0</v>
      </c>
    </row>
    <row r="65" spans="1:26" ht="37.5">
      <c r="A65" s="26"/>
      <c r="B65" s="27"/>
      <c r="C65" s="55" t="s">
        <v>72</v>
      </c>
      <c r="D65" s="17">
        <f t="shared" si="7"/>
        <v>15360149</v>
      </c>
      <c r="E65" s="21"/>
      <c r="F65" s="56">
        <f t="shared" si="8"/>
        <v>15360149</v>
      </c>
      <c r="G65" s="56">
        <f>7024039-1500000+2000000+7836110</f>
        <v>15360149</v>
      </c>
      <c r="H65" s="56">
        <f>130000+3643250+51820.6+52162.95+3185744.56+38818.28</f>
        <v>7101796.390000001</v>
      </c>
      <c r="I65" s="77">
        <f t="shared" si="11"/>
        <v>46.23520507515911</v>
      </c>
      <c r="J65" s="51">
        <f t="shared" si="12"/>
        <v>98.85664433365343</v>
      </c>
      <c r="L65" s="45">
        <f t="shared" si="13"/>
        <v>82137.91999999993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3"/>
        <v>15360149</v>
      </c>
      <c r="Z65" s="48">
        <f t="shared" si="10"/>
        <v>0</v>
      </c>
    </row>
    <row r="66" spans="1:26" ht="18.75">
      <c r="A66" s="26"/>
      <c r="B66" s="27"/>
      <c r="C66" s="55" t="s">
        <v>73</v>
      </c>
      <c r="D66" s="17">
        <f t="shared" si="7"/>
        <v>3976000</v>
      </c>
      <c r="E66" s="21"/>
      <c r="F66" s="56">
        <f t="shared" si="8"/>
        <v>3976000</v>
      </c>
      <c r="G66" s="56">
        <v>3976000</v>
      </c>
      <c r="H66" s="56">
        <f>1000000+500000-500000</f>
        <v>1000000</v>
      </c>
      <c r="I66" s="17">
        <f t="shared" si="11"/>
        <v>25.15090543259557</v>
      </c>
      <c r="J66" s="51">
        <f t="shared" si="12"/>
        <v>37.735849056603776</v>
      </c>
      <c r="L66" s="45">
        <f t="shared" si="13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3"/>
        <v>3976000</v>
      </c>
      <c r="Z66" s="48">
        <f t="shared" si="10"/>
        <v>0</v>
      </c>
    </row>
    <row r="67" spans="1:26" ht="18.75">
      <c r="A67" s="26"/>
      <c r="B67" s="27"/>
      <c r="C67" s="55" t="s">
        <v>74</v>
      </c>
      <c r="D67" s="17">
        <f t="shared" si="7"/>
        <v>2733000</v>
      </c>
      <c r="E67" s="21"/>
      <c r="F67" s="56">
        <f t="shared" si="8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1"/>
        <v>99.99939590193925</v>
      </c>
      <c r="J67" s="51">
        <f t="shared" si="12"/>
        <v>99.99939590193925</v>
      </c>
      <c r="L67" s="45">
        <f t="shared" si="13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3"/>
        <v>2733000</v>
      </c>
      <c r="Z67" s="48">
        <f t="shared" si="10"/>
        <v>0</v>
      </c>
    </row>
    <row r="68" spans="1:26" ht="18.75">
      <c r="A68" s="26"/>
      <c r="B68" s="27"/>
      <c r="C68" s="59" t="s">
        <v>75</v>
      </c>
      <c r="D68" s="17">
        <f t="shared" si="7"/>
        <v>86813.52</v>
      </c>
      <c r="E68" s="21"/>
      <c r="F68" s="56">
        <f t="shared" si="8"/>
        <v>86813.52</v>
      </c>
      <c r="G68" s="60">
        <v>86813.52</v>
      </c>
      <c r="H68" s="56"/>
      <c r="I68" s="39">
        <f t="shared" si="11"/>
        <v>0</v>
      </c>
      <c r="J68" s="81" t="e">
        <f t="shared" si="12"/>
        <v>#DIV/0!</v>
      </c>
      <c r="L68" s="45">
        <f t="shared" si="13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3"/>
        <v>86813.52</v>
      </c>
      <c r="Z68" s="48">
        <f t="shared" si="10"/>
        <v>0</v>
      </c>
    </row>
    <row r="69" spans="1:26" ht="18.75">
      <c r="A69" s="26"/>
      <c r="B69" s="27"/>
      <c r="C69" s="59" t="s">
        <v>76</v>
      </c>
      <c r="D69" s="17">
        <f t="shared" si="7"/>
        <v>114582.07</v>
      </c>
      <c r="E69" s="21"/>
      <c r="F69" s="56">
        <f t="shared" si="8"/>
        <v>114582.07</v>
      </c>
      <c r="G69" s="60">
        <v>114582.07</v>
      </c>
      <c r="H69" s="56">
        <f>23000</f>
        <v>23000</v>
      </c>
      <c r="I69" s="17">
        <f t="shared" si="11"/>
        <v>20.0729485861095</v>
      </c>
      <c r="J69" s="51">
        <f t="shared" si="12"/>
        <v>100</v>
      </c>
      <c r="L69" s="45">
        <f t="shared" si="13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3"/>
        <v>114582.07</v>
      </c>
      <c r="Z69" s="48">
        <f t="shared" si="10"/>
        <v>0</v>
      </c>
    </row>
    <row r="70" spans="1:26" ht="18.75">
      <c r="A70" s="26"/>
      <c r="B70" s="27"/>
      <c r="C70" s="59" t="s">
        <v>77</v>
      </c>
      <c r="D70" s="17">
        <f t="shared" si="7"/>
        <v>176384.92</v>
      </c>
      <c r="E70" s="21"/>
      <c r="F70" s="56">
        <f t="shared" si="8"/>
        <v>176384.92</v>
      </c>
      <c r="G70" s="60">
        <v>176384.92</v>
      </c>
      <c r="H70" s="56">
        <f>16000</f>
        <v>16000</v>
      </c>
      <c r="I70" s="17">
        <f t="shared" si="11"/>
        <v>9.071070247955436</v>
      </c>
      <c r="J70" s="51">
        <f t="shared" si="12"/>
        <v>99.99999999999983</v>
      </c>
      <c r="L70" s="45">
        <f t="shared" si="13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3"/>
        <v>176384.92</v>
      </c>
      <c r="Z70" s="48">
        <f t="shared" si="10"/>
        <v>0</v>
      </c>
    </row>
    <row r="71" spans="1:26" ht="18.75">
      <c r="A71" s="26"/>
      <c r="B71" s="27"/>
      <c r="C71" s="59" t="s">
        <v>78</v>
      </c>
      <c r="D71" s="17">
        <f t="shared" si="7"/>
        <v>376807.62</v>
      </c>
      <c r="E71" s="21"/>
      <c r="F71" s="56">
        <f t="shared" si="8"/>
        <v>376807.62</v>
      </c>
      <c r="G71" s="60">
        <v>376807.62</v>
      </c>
      <c r="H71" s="56">
        <f>36000</f>
        <v>36000</v>
      </c>
      <c r="I71" s="17">
        <f t="shared" si="11"/>
        <v>9.553946918589386</v>
      </c>
      <c r="J71" s="51">
        <f t="shared" si="12"/>
        <v>100</v>
      </c>
      <c r="L71" s="45">
        <f t="shared" si="13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3"/>
        <v>376807.62</v>
      </c>
      <c r="Z71" s="48">
        <f t="shared" si="10"/>
        <v>0</v>
      </c>
    </row>
    <row r="72" spans="1:26" ht="37.5">
      <c r="A72" s="26"/>
      <c r="B72" s="27"/>
      <c r="C72" s="59" t="s">
        <v>79</v>
      </c>
      <c r="D72" s="17">
        <f t="shared" si="7"/>
        <v>1517411.87</v>
      </c>
      <c r="E72" s="21"/>
      <c r="F72" s="56">
        <f t="shared" si="8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1"/>
        <v>99.85999516400248</v>
      </c>
      <c r="J72" s="51">
        <f t="shared" si="12"/>
        <v>99.99999999999999</v>
      </c>
      <c r="L72" s="45">
        <f t="shared" si="13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3"/>
        <v>1517411.87</v>
      </c>
      <c r="Z72" s="48">
        <f t="shared" si="10"/>
        <v>0</v>
      </c>
    </row>
    <row r="73" spans="1:26" ht="18.75">
      <c r="A73" s="26"/>
      <c r="B73" s="27"/>
      <c r="C73" s="55" t="s">
        <v>122</v>
      </c>
      <c r="D73" s="17">
        <f t="shared" si="7"/>
        <v>650000</v>
      </c>
      <c r="E73" s="21"/>
      <c r="F73" s="56">
        <f t="shared" si="8"/>
        <v>650000</v>
      </c>
      <c r="G73" s="60">
        <v>650000</v>
      </c>
      <c r="H73" s="56"/>
      <c r="I73" s="17"/>
      <c r="J73" s="81" t="e">
        <f t="shared" si="12"/>
        <v>#DIV/0!</v>
      </c>
      <c r="L73" s="45">
        <f t="shared" si="13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3"/>
        <v>650000</v>
      </c>
      <c r="Z73" s="48">
        <f t="shared" si="10"/>
        <v>0</v>
      </c>
    </row>
    <row r="74" spans="1:26" ht="18.75">
      <c r="A74" s="26"/>
      <c r="B74" s="27"/>
      <c r="C74" s="55" t="s">
        <v>80</v>
      </c>
      <c r="D74" s="17">
        <f t="shared" si="7"/>
        <v>115891.03</v>
      </c>
      <c r="E74" s="21"/>
      <c r="F74" s="56">
        <f t="shared" si="8"/>
        <v>115891.03</v>
      </c>
      <c r="G74" s="56">
        <v>115891.03</v>
      </c>
      <c r="H74" s="56"/>
      <c r="I74" s="39">
        <f t="shared" si="11"/>
        <v>0</v>
      </c>
      <c r="J74" s="51">
        <f t="shared" si="12"/>
        <v>0</v>
      </c>
      <c r="L74" s="45">
        <f t="shared" si="13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5">
        <f>115000-115000</f>
        <v>0</v>
      </c>
      <c r="W74" s="85"/>
      <c r="X74" s="85">
        <f>115000</f>
        <v>115000</v>
      </c>
      <c r="Y74" s="45">
        <f t="shared" si="3"/>
        <v>115891.03</v>
      </c>
      <c r="Z74" s="48">
        <f t="shared" si="10"/>
        <v>0</v>
      </c>
    </row>
    <row r="75" spans="1:26" ht="18.75">
      <c r="A75" s="26"/>
      <c r="B75" s="27"/>
      <c r="C75" s="55" t="s">
        <v>81</v>
      </c>
      <c r="D75" s="17">
        <f t="shared" si="7"/>
        <v>1042820.97</v>
      </c>
      <c r="E75" s="21"/>
      <c r="F75" s="56">
        <f t="shared" si="8"/>
        <v>1042820.97</v>
      </c>
      <c r="G75" s="56">
        <f>584108.97+5250+453462</f>
        <v>1042820.97</v>
      </c>
      <c r="H75" s="56">
        <f>286000+50433.63+4759.51-139782.21+384148.61</f>
        <v>585559.54</v>
      </c>
      <c r="I75" s="17">
        <f t="shared" si="11"/>
        <v>56.15149261910221</v>
      </c>
      <c r="J75" s="51">
        <f t="shared" si="12"/>
        <v>68.06291609979006</v>
      </c>
      <c r="L75" s="45">
        <f t="shared" si="13"/>
        <v>274761.42999999993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3"/>
        <v>1042820.97</v>
      </c>
      <c r="Z75" s="48">
        <f t="shared" si="10"/>
        <v>0</v>
      </c>
    </row>
    <row r="76" spans="1:26" ht="18.75" hidden="1">
      <c r="A76" s="26"/>
      <c r="B76" s="27"/>
      <c r="C76" s="55" t="s">
        <v>82</v>
      </c>
      <c r="D76" s="17">
        <f t="shared" si="7"/>
        <v>0</v>
      </c>
      <c r="E76" s="21"/>
      <c r="F76" s="56">
        <f t="shared" si="8"/>
        <v>0</v>
      </c>
      <c r="G76" s="56">
        <f>400000-400000</f>
        <v>0</v>
      </c>
      <c r="H76" s="56"/>
      <c r="I76" s="39" t="e">
        <f t="shared" si="11"/>
        <v>#DIV/0!</v>
      </c>
      <c r="J76" s="51" t="e">
        <f t="shared" si="12"/>
        <v>#DIV/0!</v>
      </c>
      <c r="L76" s="45">
        <f t="shared" si="13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3"/>
        <v>0</v>
      </c>
      <c r="Z76" s="48">
        <f t="shared" si="10"/>
        <v>0</v>
      </c>
    </row>
    <row r="77" spans="1:26" ht="37.5">
      <c r="A77" s="26"/>
      <c r="B77" s="27"/>
      <c r="C77" s="55" t="s">
        <v>83</v>
      </c>
      <c r="D77" s="17">
        <f t="shared" si="7"/>
        <v>202968.32</v>
      </c>
      <c r="E77" s="21"/>
      <c r="F77" s="56">
        <f t="shared" si="8"/>
        <v>202968.32</v>
      </c>
      <c r="G77" s="56">
        <f>201000+1968.32</f>
        <v>202968.32</v>
      </c>
      <c r="H77" s="56">
        <f>190086.61+6815.71</f>
        <v>196902.31999999998</v>
      </c>
      <c r="I77" s="17">
        <f t="shared" si="11"/>
        <v>97.0113562550057</v>
      </c>
      <c r="J77" s="51">
        <f t="shared" si="12"/>
        <v>97.0113562550057</v>
      </c>
      <c r="L77" s="45">
        <f t="shared" si="13"/>
        <v>6066.000000000029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3"/>
        <v>202968.32</v>
      </c>
      <c r="Z77" s="48">
        <f t="shared" si="10"/>
        <v>0</v>
      </c>
    </row>
    <row r="78" spans="1:26" ht="37.5">
      <c r="A78" s="26"/>
      <c r="B78" s="27"/>
      <c r="C78" s="55" t="s">
        <v>84</v>
      </c>
      <c r="D78" s="17">
        <f t="shared" si="7"/>
        <v>145717.01</v>
      </c>
      <c r="E78" s="21"/>
      <c r="F78" s="56">
        <f t="shared" si="8"/>
        <v>145717.01</v>
      </c>
      <c r="G78" s="56">
        <f>145000+717.01</f>
        <v>145717.01</v>
      </c>
      <c r="H78" s="56">
        <f>137489.66+3208.95</f>
        <v>140698.61000000002</v>
      </c>
      <c r="I78" s="17">
        <f t="shared" si="11"/>
        <v>96.5560643880903</v>
      </c>
      <c r="J78" s="51">
        <f t="shared" si="12"/>
        <v>96.5560643880903</v>
      </c>
      <c r="L78" s="45">
        <f t="shared" si="13"/>
        <v>5018.399999999994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3"/>
        <v>145717.01</v>
      </c>
      <c r="Z78" s="48">
        <f t="shared" si="10"/>
        <v>0</v>
      </c>
    </row>
    <row r="79" spans="1:26" ht="18.75">
      <c r="A79" s="26"/>
      <c r="B79" s="27"/>
      <c r="C79" s="55" t="s">
        <v>123</v>
      </c>
      <c r="D79" s="17">
        <f t="shared" si="7"/>
        <v>3000000</v>
      </c>
      <c r="E79" s="21"/>
      <c r="F79" s="56">
        <f t="shared" si="8"/>
        <v>3000000</v>
      </c>
      <c r="G79" s="56">
        <f>1338431.61+1340.08+1660228.31</f>
        <v>3000000</v>
      </c>
      <c r="H79" s="56"/>
      <c r="I79" s="17"/>
      <c r="J79" s="51">
        <f t="shared" si="12"/>
        <v>0</v>
      </c>
      <c r="L79" s="45">
        <f t="shared" si="13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3"/>
        <v>3000000</v>
      </c>
      <c r="Z79" s="48">
        <f t="shared" si="10"/>
        <v>0</v>
      </c>
    </row>
    <row r="80" spans="1:26" ht="18.75">
      <c r="A80" s="26"/>
      <c r="B80" s="27"/>
      <c r="C80" s="55" t="s">
        <v>85</v>
      </c>
      <c r="D80" s="17">
        <f t="shared" si="7"/>
        <v>1500000</v>
      </c>
      <c r="E80" s="21"/>
      <c r="F80" s="56">
        <f t="shared" si="8"/>
        <v>1500000</v>
      </c>
      <c r="G80" s="56">
        <v>1500000</v>
      </c>
      <c r="H80" s="56">
        <f>61000+900000+12600</f>
        <v>973600</v>
      </c>
      <c r="I80" s="77">
        <f t="shared" si="11"/>
        <v>64.90666666666667</v>
      </c>
      <c r="J80" s="51">
        <f t="shared" si="12"/>
        <v>91.67608286252354</v>
      </c>
      <c r="L80" s="45">
        <f t="shared" si="13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3"/>
        <v>1500000</v>
      </c>
      <c r="Z80" s="48">
        <f t="shared" si="10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1"/>
        <v>0</v>
      </c>
      <c r="J81" s="51">
        <f t="shared" si="12"/>
        <v>0</v>
      </c>
      <c r="L81" s="45">
        <f t="shared" si="13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3"/>
        <v>10000</v>
      </c>
      <c r="Z81" s="48">
        <f t="shared" si="10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1"/>
        <v>72.97283333333333</v>
      </c>
      <c r="J82" s="51">
        <f t="shared" si="12"/>
        <v>99.96278538812786</v>
      </c>
      <c r="L82" s="45">
        <f t="shared" si="13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4" ref="Y82:Y124">SUM(M82:X82)</f>
        <v>600000</v>
      </c>
      <c r="Z82" s="48">
        <f t="shared" si="10"/>
        <v>0</v>
      </c>
    </row>
    <row r="83" spans="1:26" ht="18.75">
      <c r="A83" s="26"/>
      <c r="B83" s="27"/>
      <c r="C83" s="55" t="s">
        <v>87</v>
      </c>
      <c r="D83" s="17">
        <f t="shared" si="7"/>
        <v>72500</v>
      </c>
      <c r="E83" s="21"/>
      <c r="F83" s="56">
        <f t="shared" si="8"/>
        <v>72500</v>
      </c>
      <c r="G83" s="56">
        <v>72500</v>
      </c>
      <c r="H83" s="56"/>
      <c r="I83" s="39">
        <f t="shared" si="11"/>
        <v>0</v>
      </c>
      <c r="J83" s="81" t="e">
        <f t="shared" si="12"/>
        <v>#DIV/0!</v>
      </c>
      <c r="L83" s="45">
        <f t="shared" si="13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4"/>
        <v>72500</v>
      </c>
      <c r="Z83" s="48">
        <f t="shared" si="10"/>
        <v>0</v>
      </c>
    </row>
    <row r="84" spans="1:26" ht="18.75">
      <c r="A84" s="26"/>
      <c r="B84" s="27"/>
      <c r="C84" s="55" t="s">
        <v>118</v>
      </c>
      <c r="D84" s="17">
        <f t="shared" si="7"/>
        <v>1600000</v>
      </c>
      <c r="E84" s="21"/>
      <c r="F84" s="56">
        <f t="shared" si="8"/>
        <v>1600000</v>
      </c>
      <c r="G84" s="56">
        <v>1600000</v>
      </c>
      <c r="H84" s="56">
        <f>48000+1000000+465273.69</f>
        <v>1513273.69</v>
      </c>
      <c r="I84" s="77">
        <f t="shared" si="11"/>
        <v>94.579605625</v>
      </c>
      <c r="J84" s="51">
        <f t="shared" si="12"/>
        <v>99.55747960526315</v>
      </c>
      <c r="L84" s="45">
        <f t="shared" si="13"/>
        <v>6726.310000000056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4"/>
        <v>1600000</v>
      </c>
      <c r="Z84" s="48">
        <f t="shared" si="10"/>
        <v>0</v>
      </c>
    </row>
    <row r="85" spans="1:26" ht="37.5">
      <c r="A85" s="26"/>
      <c r="B85" s="27"/>
      <c r="C85" s="55" t="s">
        <v>88</v>
      </c>
      <c r="D85" s="17">
        <f t="shared" si="7"/>
        <v>62084.4</v>
      </c>
      <c r="E85" s="21"/>
      <c r="F85" s="56">
        <f t="shared" si="8"/>
        <v>62084.4</v>
      </c>
      <c r="G85" s="56">
        <f>45000+17084.4</f>
        <v>62084.4</v>
      </c>
      <c r="H85" s="56"/>
      <c r="I85" s="39">
        <f t="shared" si="11"/>
        <v>0</v>
      </c>
      <c r="J85" s="51">
        <f t="shared" si="12"/>
        <v>0</v>
      </c>
      <c r="L85" s="45">
        <f t="shared" si="13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4"/>
        <v>62084.4</v>
      </c>
      <c r="Z85" s="48">
        <f t="shared" si="10"/>
        <v>0</v>
      </c>
    </row>
    <row r="86" spans="1:26" ht="18.75">
      <c r="A86" s="103" t="s">
        <v>89</v>
      </c>
      <c r="B86" s="104"/>
      <c r="C86" s="104"/>
      <c r="D86" s="104"/>
      <c r="E86" s="104"/>
      <c r="F86" s="104"/>
      <c r="G86" s="105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4"/>
        <v>0</v>
      </c>
      <c r="Z86" s="48">
        <f t="shared" si="10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89481426.25</v>
      </c>
      <c r="I87" s="8">
        <f t="shared" si="11"/>
        <v>61.51009337999592</v>
      </c>
      <c r="J87" s="8">
        <f>(H87/(M87+N87+O87+P87+Q87+R87+S87+T87+U87+V87+W87))*100</f>
        <v>81.00629364365398</v>
      </c>
      <c r="L87" s="50">
        <f>(M87+N87+O87+P87+Q87+R87+S87+T87+U87+V87+W87)-H87</f>
        <v>20980887.510000005</v>
      </c>
      <c r="M87" s="68">
        <f>SUM(M88:M123)</f>
        <v>0</v>
      </c>
      <c r="N87" s="68">
        <f aca="true" t="shared" si="15" ref="N87:X87">SUM(N88:N123)</f>
        <v>0</v>
      </c>
      <c r="O87" s="50">
        <f t="shared" si="15"/>
        <v>8050000</v>
      </c>
      <c r="P87" s="50">
        <f t="shared" si="15"/>
        <v>21834756.8</v>
      </c>
      <c r="Q87" s="50">
        <f t="shared" si="15"/>
        <v>8822800</v>
      </c>
      <c r="R87" s="50">
        <f t="shared" si="15"/>
        <v>11378056.360000001</v>
      </c>
      <c r="S87" s="50">
        <f t="shared" si="15"/>
        <v>12589502.09</v>
      </c>
      <c r="T87" s="50">
        <f t="shared" si="15"/>
        <v>14820167.76</v>
      </c>
      <c r="U87" s="50">
        <f t="shared" si="15"/>
        <v>6801270.15</v>
      </c>
      <c r="V87" s="50">
        <f t="shared" si="15"/>
        <v>10434000</v>
      </c>
      <c r="W87" s="50">
        <f t="shared" si="15"/>
        <v>15731760.6</v>
      </c>
      <c r="X87" s="50">
        <f t="shared" si="15"/>
        <v>35012065.05</v>
      </c>
      <c r="Y87" s="50">
        <f t="shared" si="14"/>
        <v>145474378.81</v>
      </c>
      <c r="Z87" s="48">
        <f t="shared" si="10"/>
        <v>0</v>
      </c>
    </row>
    <row r="88" spans="1:26" ht="18.75">
      <c r="A88" s="62"/>
      <c r="B88" s="18"/>
      <c r="C88" s="55" t="s">
        <v>90</v>
      </c>
      <c r="D88" s="17">
        <f aca="true" t="shared" si="16" ref="D88:D123">E88+F88</f>
        <v>800000</v>
      </c>
      <c r="E88" s="21"/>
      <c r="F88" s="56">
        <f aca="true" t="shared" si="17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1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4"/>
        <v>800000</v>
      </c>
      <c r="Z88" s="48">
        <f t="shared" si="10"/>
        <v>0</v>
      </c>
    </row>
    <row r="89" spans="1:26" ht="24" customHeight="1">
      <c r="A89" s="62"/>
      <c r="B89" s="18"/>
      <c r="C89" s="82" t="s">
        <v>115</v>
      </c>
      <c r="D89" s="17">
        <f t="shared" si="16"/>
        <v>5863886</v>
      </c>
      <c r="E89" s="21"/>
      <c r="F89" s="56">
        <f t="shared" si="17"/>
        <v>5863886</v>
      </c>
      <c r="G89" s="56">
        <f>3000000+2863886</f>
        <v>5863886</v>
      </c>
      <c r="H89" s="57">
        <f>87741.39+1410000+801919.2+607351.2+34640.42</f>
        <v>2941652.21</v>
      </c>
      <c r="I89" s="17">
        <f t="shared" si="11"/>
        <v>50.16557637716696</v>
      </c>
      <c r="J89" s="51">
        <f aca="true" t="shared" si="18" ref="J89:J123">(H89/(M89+N89+O89+P89+Q89+R89+S89+T89+U89+V89+W89))*100</f>
        <v>66.85573204545454</v>
      </c>
      <c r="L89" s="45">
        <f aca="true" t="shared" si="19" ref="L89:L124">(M89+N89+O89+P89+Q89+R89+S89+T89+U89+V89+W89)-H89</f>
        <v>1458347.79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4"/>
        <v>5863886</v>
      </c>
      <c r="Z89" s="48">
        <f t="shared" si="10"/>
        <v>0</v>
      </c>
    </row>
    <row r="90" spans="1:26" ht="24" customHeight="1">
      <c r="A90" s="62"/>
      <c r="B90" s="18"/>
      <c r="C90" s="55" t="s">
        <v>125</v>
      </c>
      <c r="D90" s="17">
        <f t="shared" si="16"/>
        <v>300000</v>
      </c>
      <c r="E90" s="21"/>
      <c r="F90" s="56">
        <f t="shared" si="17"/>
        <v>300000</v>
      </c>
      <c r="G90" s="56">
        <f>300000</f>
        <v>300000</v>
      </c>
      <c r="H90" s="57"/>
      <c r="I90" s="17"/>
      <c r="J90" s="81" t="e">
        <f t="shared" si="18"/>
        <v>#DIV/0!</v>
      </c>
      <c r="L90" s="45">
        <f t="shared" si="19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4"/>
        <v>300000</v>
      </c>
      <c r="Z90" s="48">
        <f t="shared" si="10"/>
        <v>0</v>
      </c>
    </row>
    <row r="91" spans="1:26" ht="24" customHeight="1">
      <c r="A91" s="62"/>
      <c r="B91" s="18"/>
      <c r="C91" s="55" t="s">
        <v>126</v>
      </c>
      <c r="D91" s="17">
        <f t="shared" si="16"/>
        <v>376676.89</v>
      </c>
      <c r="E91" s="21"/>
      <c r="F91" s="56">
        <f t="shared" si="17"/>
        <v>376676.89</v>
      </c>
      <c r="G91" s="56">
        <f>376676.89</f>
        <v>376676.89</v>
      </c>
      <c r="H91" s="57">
        <f>33552</f>
        <v>33552</v>
      </c>
      <c r="I91" s="17">
        <f t="shared" si="11"/>
        <v>8.907368859289457</v>
      </c>
      <c r="J91" s="51">
        <f t="shared" si="18"/>
        <v>98.68235294117646</v>
      </c>
      <c r="L91" s="45">
        <f t="shared" si="19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4"/>
        <v>376676.89</v>
      </c>
      <c r="Z91" s="48">
        <f t="shared" si="10"/>
        <v>0</v>
      </c>
    </row>
    <row r="92" spans="1:26" ht="18.75">
      <c r="A92" s="62"/>
      <c r="B92" s="18"/>
      <c r="C92" s="55" t="s">
        <v>91</v>
      </c>
      <c r="D92" s="17">
        <f t="shared" si="16"/>
        <v>26805000</v>
      </c>
      <c r="E92" s="21"/>
      <c r="F92" s="56">
        <f t="shared" si="17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1"/>
        <v>99.92912922962132</v>
      </c>
      <c r="J92" s="51">
        <f t="shared" si="18"/>
        <v>99.92912922962132</v>
      </c>
      <c r="L92" s="45">
        <f t="shared" si="19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4"/>
        <v>26805000</v>
      </c>
      <c r="Z92" s="48">
        <f t="shared" si="10"/>
        <v>0</v>
      </c>
    </row>
    <row r="93" spans="1:26" ht="18.75">
      <c r="A93" s="62"/>
      <c r="B93" s="18"/>
      <c r="C93" s="55" t="s">
        <v>92</v>
      </c>
      <c r="D93" s="17">
        <f t="shared" si="16"/>
        <v>1330000</v>
      </c>
      <c r="E93" s="21"/>
      <c r="F93" s="56">
        <f t="shared" si="17"/>
        <v>1330000</v>
      </c>
      <c r="G93" s="57">
        <f>1300000+30000</f>
        <v>1330000</v>
      </c>
      <c r="H93" s="57">
        <f>27575</f>
        <v>27575</v>
      </c>
      <c r="I93" s="17">
        <f t="shared" si="11"/>
        <v>2.0733082706766917</v>
      </c>
      <c r="J93" s="51">
        <f t="shared" si="18"/>
        <v>2.2219983883964547</v>
      </c>
      <c r="L93" s="45">
        <f t="shared" si="19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4"/>
        <v>1330000</v>
      </c>
      <c r="Z93" s="48">
        <f aca="true" t="shared" si="20" ref="Z93:Z124">Y93-D93</f>
        <v>0</v>
      </c>
    </row>
    <row r="94" spans="1:26" ht="18.75">
      <c r="A94" s="62"/>
      <c r="B94" s="18"/>
      <c r="C94" s="55" t="s">
        <v>93</v>
      </c>
      <c r="D94" s="17">
        <f t="shared" si="16"/>
        <v>15600000</v>
      </c>
      <c r="E94" s="21"/>
      <c r="F94" s="56">
        <f t="shared" si="17"/>
        <v>15600000</v>
      </c>
      <c r="G94" s="56">
        <f>600000+15000000</f>
        <v>15600000</v>
      </c>
      <c r="H94" s="57">
        <f>577692+778157+1108224+5975.9+1710871+1977704-170357+35596.02+1759007-1759007</f>
        <v>6023862.92</v>
      </c>
      <c r="I94" s="17">
        <f aca="true" t="shared" si="21" ref="I94:I107">H94/D94*100</f>
        <v>38.6145058974359</v>
      </c>
      <c r="J94" s="51">
        <f t="shared" si="18"/>
        <v>64.1860726691529</v>
      </c>
      <c r="L94" s="45">
        <f t="shared" si="19"/>
        <v>3361137.08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4"/>
        <v>15600000</v>
      </c>
      <c r="Z94" s="48">
        <f t="shared" si="20"/>
        <v>0</v>
      </c>
    </row>
    <row r="95" spans="1:26" ht="18.75">
      <c r="A95" s="62"/>
      <c r="B95" s="18"/>
      <c r="C95" s="55" t="s">
        <v>127</v>
      </c>
      <c r="D95" s="17">
        <f t="shared" si="16"/>
        <v>1500000</v>
      </c>
      <c r="E95" s="21"/>
      <c r="F95" s="56">
        <f t="shared" si="17"/>
        <v>1500000</v>
      </c>
      <c r="G95" s="57">
        <f>500000+1000000</f>
        <v>1500000</v>
      </c>
      <c r="H95" s="57">
        <f>9752+54700</f>
        <v>64452</v>
      </c>
      <c r="I95" s="17">
        <f t="shared" si="21"/>
        <v>4.2968</v>
      </c>
      <c r="J95" s="51">
        <f t="shared" si="18"/>
        <v>99.15692307692308</v>
      </c>
      <c r="L95" s="45">
        <f t="shared" si="19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4"/>
        <v>1500000</v>
      </c>
      <c r="Z95" s="48">
        <f t="shared" si="20"/>
        <v>0</v>
      </c>
    </row>
    <row r="96" spans="1:26" ht="18.75">
      <c r="A96" s="62"/>
      <c r="B96" s="18"/>
      <c r="C96" s="55" t="s">
        <v>117</v>
      </c>
      <c r="D96" s="17">
        <f t="shared" si="16"/>
        <v>300000</v>
      </c>
      <c r="E96" s="21"/>
      <c r="F96" s="56">
        <f t="shared" si="17"/>
        <v>300000</v>
      </c>
      <c r="G96" s="57">
        <v>300000</v>
      </c>
      <c r="H96" s="57">
        <f>5291+11445+28516</f>
        <v>45252</v>
      </c>
      <c r="I96" s="17">
        <f t="shared" si="21"/>
        <v>15.084</v>
      </c>
      <c r="J96" s="51">
        <f t="shared" si="18"/>
        <v>15.084</v>
      </c>
      <c r="L96" s="45">
        <f t="shared" si="19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4"/>
        <v>300000</v>
      </c>
      <c r="Z96" s="48">
        <f t="shared" si="20"/>
        <v>0</v>
      </c>
    </row>
    <row r="97" spans="1:26" ht="18.75">
      <c r="A97" s="62"/>
      <c r="B97" s="18"/>
      <c r="C97" s="55" t="s">
        <v>128</v>
      </c>
      <c r="D97" s="17">
        <f t="shared" si="16"/>
        <v>600000</v>
      </c>
      <c r="E97" s="21"/>
      <c r="F97" s="56">
        <f t="shared" si="17"/>
        <v>600000</v>
      </c>
      <c r="G97" s="57">
        <f>600000</f>
        <v>600000</v>
      </c>
      <c r="H97" s="57"/>
      <c r="I97" s="17"/>
      <c r="J97" s="51">
        <f t="shared" si="18"/>
        <v>0</v>
      </c>
      <c r="L97" s="45">
        <f t="shared" si="19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4"/>
        <v>600000</v>
      </c>
      <c r="Z97" s="48">
        <f t="shared" si="20"/>
        <v>0</v>
      </c>
    </row>
    <row r="98" spans="1:26" ht="18.75">
      <c r="A98" s="62"/>
      <c r="B98" s="18"/>
      <c r="C98" s="55" t="s">
        <v>129</v>
      </c>
      <c r="D98" s="17">
        <f t="shared" si="16"/>
        <v>350000</v>
      </c>
      <c r="E98" s="21"/>
      <c r="F98" s="56">
        <f t="shared" si="17"/>
        <v>350000</v>
      </c>
      <c r="G98" s="57">
        <f>350000</f>
        <v>350000</v>
      </c>
      <c r="H98" s="57"/>
      <c r="I98" s="17"/>
      <c r="J98" s="51">
        <f t="shared" si="18"/>
        <v>0</v>
      </c>
      <c r="L98" s="45">
        <f t="shared" si="19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4"/>
        <v>350000</v>
      </c>
      <c r="Z98" s="48">
        <f t="shared" si="20"/>
        <v>0</v>
      </c>
    </row>
    <row r="99" spans="1:26" ht="37.5">
      <c r="A99" s="62"/>
      <c r="B99" s="18"/>
      <c r="C99" s="55" t="s">
        <v>94</v>
      </c>
      <c r="D99" s="17">
        <f t="shared" si="16"/>
        <v>3556000</v>
      </c>
      <c r="E99" s="21"/>
      <c r="F99" s="56">
        <f t="shared" si="17"/>
        <v>3556000</v>
      </c>
      <c r="G99" s="56">
        <v>3556000</v>
      </c>
      <c r="H99" s="57">
        <f>408764+2547908.4+34315.41+1837.35-190298.72</f>
        <v>2802526.44</v>
      </c>
      <c r="I99" s="17">
        <f t="shared" si="21"/>
        <v>78.81120472440945</v>
      </c>
      <c r="J99" s="51">
        <f t="shared" si="18"/>
        <v>78.81120472440945</v>
      </c>
      <c r="L99" s="45">
        <f t="shared" si="19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4"/>
        <v>3556000</v>
      </c>
      <c r="Z99" s="48">
        <f t="shared" si="20"/>
        <v>0</v>
      </c>
    </row>
    <row r="100" spans="1:26" ht="37.5">
      <c r="A100" s="62"/>
      <c r="B100" s="18"/>
      <c r="C100" s="55" t="s">
        <v>95</v>
      </c>
      <c r="D100" s="17">
        <f t="shared" si="16"/>
        <v>5963000</v>
      </c>
      <c r="E100" s="21"/>
      <c r="F100" s="56">
        <f t="shared" si="17"/>
        <v>5963000</v>
      </c>
      <c r="G100" s="56">
        <v>5963000</v>
      </c>
      <c r="H100" s="57"/>
      <c r="I100" s="39">
        <f t="shared" si="21"/>
        <v>0</v>
      </c>
      <c r="J100" s="51">
        <f t="shared" si="18"/>
        <v>0</v>
      </c>
      <c r="L100" s="45">
        <f t="shared" si="19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4"/>
        <v>5963000</v>
      </c>
      <c r="Z100" s="48">
        <f t="shared" si="20"/>
        <v>0</v>
      </c>
    </row>
    <row r="101" spans="1:26" ht="18.75">
      <c r="A101" s="62"/>
      <c r="B101" s="18"/>
      <c r="C101" s="55" t="s">
        <v>96</v>
      </c>
      <c r="D101" s="17">
        <f t="shared" si="16"/>
        <v>36591901</v>
      </c>
      <c r="E101" s="21"/>
      <c r="F101" s="56">
        <f t="shared" si="17"/>
        <v>36591901</v>
      </c>
      <c r="G101" s="56">
        <f>42821003-3000000-11200000+8422898-650000+198000</f>
        <v>36591901</v>
      </c>
      <c r="H101" s="57">
        <f>7000000+3000000+112682.22-2000000+4000000+1252856.79+2704881.39+98711.87+12247314.33</f>
        <v>28416446.6</v>
      </c>
      <c r="I101" s="17">
        <f t="shared" si="21"/>
        <v>77.65774891006619</v>
      </c>
      <c r="J101" s="51">
        <f t="shared" si="18"/>
        <v>132.2246130685448</v>
      </c>
      <c r="L101" s="45">
        <f t="shared" si="19"/>
        <v>-6925405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4"/>
        <v>36591901</v>
      </c>
      <c r="Z101" s="48">
        <f t="shared" si="20"/>
        <v>0</v>
      </c>
    </row>
    <row r="102" spans="1:26" ht="18.75">
      <c r="A102" s="62"/>
      <c r="B102" s="18"/>
      <c r="C102" s="55" t="s">
        <v>130</v>
      </c>
      <c r="D102" s="17">
        <f t="shared" si="16"/>
        <v>430000</v>
      </c>
      <c r="E102" s="21"/>
      <c r="F102" s="56">
        <f t="shared" si="17"/>
        <v>430000</v>
      </c>
      <c r="G102" s="56">
        <f>430000</f>
        <v>430000</v>
      </c>
      <c r="H102" s="57"/>
      <c r="I102" s="17"/>
      <c r="J102" s="81" t="e">
        <f t="shared" si="18"/>
        <v>#DIV/0!</v>
      </c>
      <c r="L102" s="45">
        <f t="shared" si="19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4"/>
        <v>430000</v>
      </c>
      <c r="Z102" s="48">
        <f t="shared" si="20"/>
        <v>0</v>
      </c>
    </row>
    <row r="103" spans="1:26" ht="18.75">
      <c r="A103" s="62"/>
      <c r="B103" s="18"/>
      <c r="C103" s="55" t="s">
        <v>116</v>
      </c>
      <c r="D103" s="17">
        <f t="shared" si="16"/>
        <v>5300000</v>
      </c>
      <c r="E103" s="21"/>
      <c r="F103" s="56">
        <f t="shared" si="17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8"/>
        <v>100</v>
      </c>
      <c r="L103" s="45">
        <f t="shared" si="19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4"/>
        <v>5300000</v>
      </c>
      <c r="Z103" s="48">
        <f t="shared" si="20"/>
        <v>0</v>
      </c>
    </row>
    <row r="104" spans="1:26" ht="18.75">
      <c r="A104" s="62"/>
      <c r="B104" s="18"/>
      <c r="C104" s="55" t="s">
        <v>97</v>
      </c>
      <c r="D104" s="17">
        <f t="shared" si="16"/>
        <v>150000</v>
      </c>
      <c r="E104" s="21"/>
      <c r="F104" s="56">
        <f t="shared" si="17"/>
        <v>150000</v>
      </c>
      <c r="G104" s="56">
        <v>150000</v>
      </c>
      <c r="H104" s="57"/>
      <c r="I104" s="39">
        <f t="shared" si="21"/>
        <v>0</v>
      </c>
      <c r="J104" s="51">
        <f t="shared" si="18"/>
        <v>0</v>
      </c>
      <c r="L104" s="45">
        <f t="shared" si="19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4"/>
        <v>150000</v>
      </c>
      <c r="Z104" s="48">
        <f t="shared" si="20"/>
        <v>0</v>
      </c>
    </row>
    <row r="105" spans="1:26" ht="18.75" hidden="1">
      <c r="A105" s="62"/>
      <c r="B105" s="18"/>
      <c r="C105" s="55" t="s">
        <v>98</v>
      </c>
      <c r="D105" s="17">
        <f t="shared" si="16"/>
        <v>0</v>
      </c>
      <c r="E105" s="21"/>
      <c r="F105" s="56">
        <f t="shared" si="17"/>
        <v>0</v>
      </c>
      <c r="G105" s="57">
        <f>460000-350000-110000</f>
        <v>0</v>
      </c>
      <c r="H105" s="57"/>
      <c r="I105" s="39" t="e">
        <f t="shared" si="21"/>
        <v>#DIV/0!</v>
      </c>
      <c r="J105" s="51" t="e">
        <f t="shared" si="18"/>
        <v>#DIV/0!</v>
      </c>
      <c r="L105" s="45">
        <f t="shared" si="19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4"/>
        <v>0</v>
      </c>
      <c r="Z105" s="48">
        <f t="shared" si="20"/>
        <v>0</v>
      </c>
    </row>
    <row r="106" spans="1:26" ht="18.75">
      <c r="A106" s="62"/>
      <c r="B106" s="18"/>
      <c r="C106" s="55" t="s">
        <v>99</v>
      </c>
      <c r="D106" s="17">
        <f t="shared" si="16"/>
        <v>560000</v>
      </c>
      <c r="E106" s="21"/>
      <c r="F106" s="56">
        <f t="shared" si="17"/>
        <v>560000</v>
      </c>
      <c r="G106" s="57">
        <v>560000</v>
      </c>
      <c r="H106" s="57">
        <f>276237.6</f>
        <v>276237.6</v>
      </c>
      <c r="I106" s="17">
        <f t="shared" si="21"/>
        <v>49.32814285714285</v>
      </c>
      <c r="J106" s="51">
        <f t="shared" si="18"/>
        <v>49.32814285714285</v>
      </c>
      <c r="L106" s="45">
        <f t="shared" si="19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4"/>
        <v>560000</v>
      </c>
      <c r="Z106" s="48">
        <f t="shared" si="20"/>
        <v>0</v>
      </c>
    </row>
    <row r="107" spans="1:26" ht="18.75">
      <c r="A107" s="62"/>
      <c r="B107" s="18"/>
      <c r="C107" s="55" t="s">
        <v>100</v>
      </c>
      <c r="D107" s="17">
        <f t="shared" si="16"/>
        <v>680000</v>
      </c>
      <c r="E107" s="21"/>
      <c r="F107" s="56">
        <f t="shared" si="17"/>
        <v>680000</v>
      </c>
      <c r="G107" s="57">
        <v>680000</v>
      </c>
      <c r="H107" s="57"/>
      <c r="I107" s="39">
        <f t="shared" si="21"/>
        <v>0</v>
      </c>
      <c r="J107" s="51">
        <f t="shared" si="18"/>
        <v>0</v>
      </c>
      <c r="L107" s="45">
        <f t="shared" si="19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4"/>
        <v>680000</v>
      </c>
      <c r="Z107" s="48">
        <f t="shared" si="20"/>
        <v>0</v>
      </c>
    </row>
    <row r="108" spans="1:26" ht="18.75">
      <c r="A108" s="62"/>
      <c r="B108" s="18"/>
      <c r="C108" s="55" t="s">
        <v>131</v>
      </c>
      <c r="D108" s="17">
        <f t="shared" si="16"/>
        <v>800000</v>
      </c>
      <c r="E108" s="21"/>
      <c r="F108" s="56">
        <f t="shared" si="17"/>
        <v>800000</v>
      </c>
      <c r="G108" s="57">
        <f>800000</f>
        <v>800000</v>
      </c>
      <c r="H108" s="57"/>
      <c r="I108" s="39"/>
      <c r="J108" s="51">
        <f t="shared" si="18"/>
        <v>0</v>
      </c>
      <c r="L108" s="45">
        <f t="shared" si="19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4"/>
        <v>800000</v>
      </c>
      <c r="Z108" s="48">
        <f t="shared" si="20"/>
        <v>0</v>
      </c>
    </row>
    <row r="109" spans="1:26" ht="18.75">
      <c r="A109" s="62"/>
      <c r="B109" s="18"/>
      <c r="C109" s="55" t="s">
        <v>132</v>
      </c>
      <c r="D109" s="17">
        <f t="shared" si="16"/>
        <v>400000</v>
      </c>
      <c r="E109" s="21"/>
      <c r="F109" s="56">
        <f t="shared" si="17"/>
        <v>400000</v>
      </c>
      <c r="G109" s="57">
        <f>400000</f>
        <v>400000</v>
      </c>
      <c r="H109" s="57"/>
      <c r="I109" s="39"/>
      <c r="J109" s="51">
        <f t="shared" si="18"/>
        <v>0</v>
      </c>
      <c r="L109" s="45">
        <f t="shared" si="19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4"/>
        <v>400000</v>
      </c>
      <c r="Z109" s="48">
        <f t="shared" si="20"/>
        <v>0</v>
      </c>
    </row>
    <row r="110" spans="1:26" ht="18.75">
      <c r="A110" s="62"/>
      <c r="B110" s="18"/>
      <c r="C110" s="55" t="s">
        <v>133</v>
      </c>
      <c r="D110" s="17">
        <f t="shared" si="16"/>
        <v>750000</v>
      </c>
      <c r="E110" s="21"/>
      <c r="F110" s="56">
        <f t="shared" si="17"/>
        <v>750000</v>
      </c>
      <c r="G110" s="57">
        <f>750000</f>
        <v>750000</v>
      </c>
      <c r="H110" s="57"/>
      <c r="I110" s="39"/>
      <c r="J110" s="51">
        <f t="shared" si="18"/>
        <v>0</v>
      </c>
      <c r="L110" s="45">
        <f t="shared" si="19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4"/>
        <v>750000</v>
      </c>
      <c r="Z110" s="48">
        <f t="shared" si="20"/>
        <v>0</v>
      </c>
    </row>
    <row r="111" spans="1:26" ht="18.75">
      <c r="A111" s="62"/>
      <c r="B111" s="18"/>
      <c r="C111" s="55" t="s">
        <v>101</v>
      </c>
      <c r="D111" s="17">
        <f t="shared" si="16"/>
        <v>8000000</v>
      </c>
      <c r="E111" s="21"/>
      <c r="F111" s="56">
        <f t="shared" si="17"/>
        <v>8000000</v>
      </c>
      <c r="G111" s="56">
        <v>8000000</v>
      </c>
      <c r="H111" s="57">
        <f>3276477.6+1727104.4</f>
        <v>5003582</v>
      </c>
      <c r="I111" s="17">
        <f aca="true" t="shared" si="22" ref="I111:I124">H111/D111*100</f>
        <v>62.544774999999994</v>
      </c>
      <c r="J111" s="51">
        <f t="shared" si="18"/>
        <v>65.55050319192378</v>
      </c>
      <c r="L111" s="45">
        <f t="shared" si="19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4"/>
        <v>8000000</v>
      </c>
      <c r="Z111" s="48">
        <f t="shared" si="20"/>
        <v>0</v>
      </c>
    </row>
    <row r="112" spans="1:26" ht="37.5">
      <c r="A112" s="62"/>
      <c r="B112" s="18"/>
      <c r="C112" s="55" t="s">
        <v>134</v>
      </c>
      <c r="D112" s="17">
        <f t="shared" si="16"/>
        <v>350000</v>
      </c>
      <c r="E112" s="21"/>
      <c r="F112" s="56">
        <f t="shared" si="17"/>
        <v>350000</v>
      </c>
      <c r="G112" s="56">
        <f>350000</f>
        <v>350000</v>
      </c>
      <c r="H112" s="57"/>
      <c r="I112" s="17"/>
      <c r="J112" s="51">
        <f t="shared" si="18"/>
        <v>0</v>
      </c>
      <c r="L112" s="45">
        <f t="shared" si="19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4"/>
        <v>350000</v>
      </c>
      <c r="Z112" s="48">
        <f t="shared" si="20"/>
        <v>0</v>
      </c>
    </row>
    <row r="113" spans="1:26" ht="18.75">
      <c r="A113" s="62"/>
      <c r="B113" s="18"/>
      <c r="C113" s="55" t="s">
        <v>135</v>
      </c>
      <c r="D113" s="17">
        <f t="shared" si="16"/>
        <v>500000</v>
      </c>
      <c r="E113" s="21"/>
      <c r="F113" s="56">
        <f t="shared" si="17"/>
        <v>500000</v>
      </c>
      <c r="G113" s="56">
        <f>500000</f>
        <v>500000</v>
      </c>
      <c r="H113" s="57"/>
      <c r="I113" s="17"/>
      <c r="J113" s="51">
        <f t="shared" si="18"/>
        <v>0</v>
      </c>
      <c r="L113" s="45">
        <f t="shared" si="19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4"/>
        <v>500000</v>
      </c>
      <c r="Z113" s="48">
        <f t="shared" si="20"/>
        <v>0</v>
      </c>
    </row>
    <row r="114" spans="1:26" ht="37.5">
      <c r="A114" s="62"/>
      <c r="B114" s="18"/>
      <c r="C114" s="55" t="s">
        <v>102</v>
      </c>
      <c r="D114" s="17">
        <f t="shared" si="16"/>
        <v>1376503.16</v>
      </c>
      <c r="E114" s="21"/>
      <c r="F114" s="56">
        <f t="shared" si="17"/>
        <v>1376503.16</v>
      </c>
      <c r="G114" s="57">
        <v>1376503.16</v>
      </c>
      <c r="H114" s="57">
        <f>643647</f>
        <v>643647</v>
      </c>
      <c r="I114" s="17">
        <f t="shared" si="22"/>
        <v>46.75957300381352</v>
      </c>
      <c r="J114" s="51">
        <f t="shared" si="18"/>
        <v>46.75957300381352</v>
      </c>
      <c r="L114" s="45">
        <f t="shared" si="19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4"/>
        <v>1376503.16</v>
      </c>
      <c r="Z114" s="48">
        <f t="shared" si="20"/>
        <v>0</v>
      </c>
    </row>
    <row r="115" spans="1:26" ht="37.5" hidden="1">
      <c r="A115" s="62"/>
      <c r="B115" s="18"/>
      <c r="C115" s="55" t="s">
        <v>103</v>
      </c>
      <c r="D115" s="17">
        <f t="shared" si="16"/>
        <v>0</v>
      </c>
      <c r="E115" s="21"/>
      <c r="F115" s="56">
        <f t="shared" si="17"/>
        <v>0</v>
      </c>
      <c r="G115" s="57">
        <f>2000000-2000000</f>
        <v>0</v>
      </c>
      <c r="H115" s="57"/>
      <c r="I115" s="39" t="e">
        <f t="shared" si="22"/>
        <v>#DIV/0!</v>
      </c>
      <c r="J115" s="51" t="e">
        <f t="shared" si="18"/>
        <v>#DIV/0!</v>
      </c>
      <c r="L115" s="45">
        <f t="shared" si="19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4"/>
        <v>0</v>
      </c>
      <c r="Z115" s="48">
        <f t="shared" si="20"/>
        <v>0</v>
      </c>
    </row>
    <row r="116" spans="1:26" ht="37.5" hidden="1">
      <c r="A116" s="62"/>
      <c r="B116" s="18"/>
      <c r="C116" s="55" t="s">
        <v>104</v>
      </c>
      <c r="D116" s="17">
        <f t="shared" si="16"/>
        <v>0</v>
      </c>
      <c r="E116" s="21"/>
      <c r="F116" s="56">
        <f t="shared" si="17"/>
        <v>0</v>
      </c>
      <c r="G116" s="57">
        <f>1050767.76-250767.76-800000</f>
        <v>0</v>
      </c>
      <c r="H116" s="57"/>
      <c r="I116" s="39" t="e">
        <f t="shared" si="22"/>
        <v>#DIV/0!</v>
      </c>
      <c r="J116" s="51" t="e">
        <f t="shared" si="18"/>
        <v>#DIV/0!</v>
      </c>
      <c r="L116" s="45">
        <f t="shared" si="19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4"/>
        <v>0</v>
      </c>
      <c r="Z116" s="48">
        <f t="shared" si="20"/>
        <v>0</v>
      </c>
    </row>
    <row r="117" spans="1:26" ht="37.5" hidden="1">
      <c r="A117" s="62"/>
      <c r="B117" s="18"/>
      <c r="C117" s="55" t="s">
        <v>105</v>
      </c>
      <c r="D117" s="17">
        <f t="shared" si="16"/>
        <v>0</v>
      </c>
      <c r="E117" s="21"/>
      <c r="F117" s="56">
        <f t="shared" si="17"/>
        <v>0</v>
      </c>
      <c r="G117" s="57">
        <f>676676.89-676676.89</f>
        <v>0</v>
      </c>
      <c r="H117" s="57"/>
      <c r="I117" s="39" t="e">
        <f t="shared" si="22"/>
        <v>#DIV/0!</v>
      </c>
      <c r="J117" s="51" t="e">
        <f t="shared" si="18"/>
        <v>#DIV/0!</v>
      </c>
      <c r="L117" s="45">
        <f t="shared" si="19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4"/>
        <v>0</v>
      </c>
      <c r="Z117" s="48">
        <f t="shared" si="20"/>
        <v>0</v>
      </c>
    </row>
    <row r="118" spans="1:26" ht="37.5">
      <c r="A118" s="62"/>
      <c r="B118" s="18"/>
      <c r="C118" s="55" t="s">
        <v>106</v>
      </c>
      <c r="D118" s="17">
        <f t="shared" si="16"/>
        <v>2450000</v>
      </c>
      <c r="E118" s="21"/>
      <c r="F118" s="56">
        <f t="shared" si="17"/>
        <v>2450000</v>
      </c>
      <c r="G118" s="57">
        <v>2450000</v>
      </c>
      <c r="H118" s="57">
        <f>597711</f>
        <v>597711</v>
      </c>
      <c r="I118" s="17">
        <f t="shared" si="22"/>
        <v>24.396367346938774</v>
      </c>
      <c r="J118" s="51">
        <f t="shared" si="18"/>
        <v>30.65184615384615</v>
      </c>
      <c r="L118" s="45">
        <f t="shared" si="19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4"/>
        <v>2450000</v>
      </c>
      <c r="Z118" s="48">
        <f t="shared" si="20"/>
        <v>0</v>
      </c>
    </row>
    <row r="119" spans="1:26" ht="37.5">
      <c r="A119" s="62"/>
      <c r="B119" s="18"/>
      <c r="C119" s="55" t="s">
        <v>107</v>
      </c>
      <c r="D119" s="17">
        <f t="shared" si="16"/>
        <v>9834000</v>
      </c>
      <c r="E119" s="21"/>
      <c r="F119" s="56">
        <f t="shared" si="17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2"/>
        <v>38.86217734390887</v>
      </c>
      <c r="J119" s="51">
        <f t="shared" si="18"/>
        <v>43.26133710663345</v>
      </c>
      <c r="L119" s="45">
        <f t="shared" si="19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4"/>
        <v>9834000</v>
      </c>
      <c r="Z119" s="48">
        <f t="shared" si="20"/>
        <v>0</v>
      </c>
    </row>
    <row r="120" spans="1:26" ht="37.5">
      <c r="A120" s="26"/>
      <c r="B120" s="63"/>
      <c r="C120" s="55" t="s">
        <v>108</v>
      </c>
      <c r="D120" s="17">
        <f t="shared" si="16"/>
        <v>315692.7599999998</v>
      </c>
      <c r="E120" s="21"/>
      <c r="F120" s="56">
        <f t="shared" si="17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2"/>
        <v>4.956084517110881</v>
      </c>
      <c r="J120" s="51">
        <f t="shared" si="18"/>
        <v>5.063430420711974</v>
      </c>
      <c r="L120" s="45">
        <f t="shared" si="19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4"/>
        <v>315692.7599999998</v>
      </c>
      <c r="Z120" s="48">
        <f t="shared" si="20"/>
        <v>0</v>
      </c>
    </row>
    <row r="121" spans="1:26" ht="37.5">
      <c r="A121" s="26"/>
      <c r="B121" s="63"/>
      <c r="C121" s="55" t="s">
        <v>109</v>
      </c>
      <c r="D121" s="17">
        <f t="shared" si="16"/>
        <v>3033744</v>
      </c>
      <c r="E121" s="21"/>
      <c r="F121" s="56">
        <f t="shared" si="17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2"/>
        <v>18.072287246385983</v>
      </c>
      <c r="J121" s="51">
        <f t="shared" si="18"/>
        <v>33.55892538855536</v>
      </c>
      <c r="L121" s="45">
        <f t="shared" si="19"/>
        <v>1085477.07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1133744+1500000-2000000-400000</f>
        <v>233744</v>
      </c>
      <c r="X121" s="75">
        <f>1000000+400000</f>
        <v>1400000</v>
      </c>
      <c r="Y121" s="45">
        <f t="shared" si="14"/>
        <v>3033744</v>
      </c>
      <c r="Z121" s="48">
        <f t="shared" si="20"/>
        <v>0</v>
      </c>
    </row>
    <row r="122" spans="1:26" ht="37.5">
      <c r="A122" s="26"/>
      <c r="B122" s="63"/>
      <c r="C122" s="55" t="s">
        <v>110</v>
      </c>
      <c r="D122" s="17">
        <f t="shared" si="16"/>
        <v>10100000</v>
      </c>
      <c r="E122" s="21"/>
      <c r="F122" s="56">
        <f t="shared" si="17"/>
        <v>10100000</v>
      </c>
      <c r="G122" s="64">
        <f>100000+10000000</f>
        <v>10100000</v>
      </c>
      <c r="H122" s="57">
        <f>72592.8+4965000+4965000+48677.09</f>
        <v>10051269.89</v>
      </c>
      <c r="I122" s="17">
        <f t="shared" si="22"/>
        <v>99.51752366336635</v>
      </c>
      <c r="J122" s="51">
        <f t="shared" si="18"/>
        <v>99.51752366336635</v>
      </c>
      <c r="L122" s="45">
        <f t="shared" si="19"/>
        <v>48730.109999999404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4300000+400000</f>
        <v>4700000</v>
      </c>
      <c r="X122" s="75">
        <f>400000-400000</f>
        <v>0</v>
      </c>
      <c r="Y122" s="45">
        <f t="shared" si="14"/>
        <v>10100000</v>
      </c>
      <c r="Z122" s="48">
        <f t="shared" si="20"/>
        <v>0</v>
      </c>
    </row>
    <row r="123" spans="1:26" ht="18.75">
      <c r="A123" s="62"/>
      <c r="B123" s="18"/>
      <c r="C123" s="55" t="s">
        <v>111</v>
      </c>
      <c r="D123" s="17">
        <f t="shared" si="16"/>
        <v>507975</v>
      </c>
      <c r="E123" s="21"/>
      <c r="F123" s="56">
        <f t="shared" si="17"/>
        <v>507975</v>
      </c>
      <c r="G123" s="64">
        <f>5000000-1936125-1185900-30000-1340000</f>
        <v>507975</v>
      </c>
      <c r="H123" s="13"/>
      <c r="I123" s="39">
        <f t="shared" si="22"/>
        <v>0</v>
      </c>
      <c r="J123" s="51">
        <f t="shared" si="18"/>
        <v>0</v>
      </c>
      <c r="L123" s="45">
        <f t="shared" si="19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4"/>
        <v>507975</v>
      </c>
      <c r="Z123" s="48">
        <f t="shared" si="20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192377991.32999998</v>
      </c>
      <c r="I124" s="8">
        <f t="shared" si="22"/>
        <v>56.869927402057364</v>
      </c>
      <c r="J124" s="84">
        <f>(H124/(M124+N124+O124+P124+Q124+R124+S124+T124+U124+V124+W124))*100</f>
        <v>83.095501004297</v>
      </c>
      <c r="L124" s="50">
        <f t="shared" si="19"/>
        <v>39136337.370000005</v>
      </c>
      <c r="M124" s="50">
        <f>M87+M29+M11</f>
        <v>3250000</v>
      </c>
      <c r="N124" s="50">
        <f aca="true" t="shared" si="23" ref="N124:X124">N87+N29+N11</f>
        <v>3932800</v>
      </c>
      <c r="O124" s="50">
        <f t="shared" si="23"/>
        <v>13642681.91</v>
      </c>
      <c r="P124" s="50">
        <f t="shared" si="23"/>
        <v>35841428.25</v>
      </c>
      <c r="Q124" s="50">
        <f t="shared" si="23"/>
        <v>18462721.119999997</v>
      </c>
      <c r="R124" s="50">
        <f t="shared" si="23"/>
        <v>19785609.630000003</v>
      </c>
      <c r="S124" s="50">
        <f t="shared" si="23"/>
        <v>29407585.61</v>
      </c>
      <c r="T124" s="50">
        <f t="shared" si="23"/>
        <v>24422696.46</v>
      </c>
      <c r="U124" s="50">
        <f t="shared" si="23"/>
        <v>25005560.380000003</v>
      </c>
      <c r="V124" s="50">
        <f t="shared" si="23"/>
        <v>18273326.18</v>
      </c>
      <c r="W124" s="50">
        <f t="shared" si="23"/>
        <v>39489919.16</v>
      </c>
      <c r="X124" s="50">
        <f t="shared" si="23"/>
        <v>106762859.47</v>
      </c>
      <c r="Y124" s="45">
        <f t="shared" si="14"/>
        <v>338277188.16999996</v>
      </c>
      <c r="Z124" s="48">
        <f t="shared" si="20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2018-12-11T12:38:09Z</dcterms:modified>
  <cp:category/>
  <cp:version/>
  <cp:contentType/>
  <cp:contentStatus/>
</cp:coreProperties>
</file>